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5" tabRatio="850" activeTab="2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</sheets>
  <definedNames>
    <definedName name="_xlnm._FilterDatabase" localSheetId="2" hidden="1">'Data Entry'!$B$6:$J$31</definedName>
    <definedName name="Accounts">'Chart of Accounts'!$B$4:$C$19</definedName>
    <definedName name="BankAccounts">'Bank Accounts'!$B$8:$O$21</definedName>
    <definedName name="BegPrincipal">'Top Level'!#REF!</definedName>
    <definedName name="Chart">'Chart of Accounts'!$B$4:$C$19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Entry'!$F$7:$F$32</definedName>
    <definedName name="SumBank">'Data Entry'!$D$7:$D$32</definedName>
    <definedName name="SumExp">'Data Entry'!$I$7:$I$32</definedName>
    <definedName name="SumMonth">'Data Entry'!$B$7:$B$32</definedName>
    <definedName name="SumMonthNum">'Data Entry'!$C$7:$C$32</definedName>
    <definedName name="SumRevenue">'Data Entry'!$H$7:$H$32</definedName>
  </definedNames>
  <calcPr calcId="124519"/>
</workbook>
</file>

<file path=xl/calcChain.xml><?xml version="1.0" encoding="utf-8"?>
<calcChain xmlns="http://schemas.openxmlformats.org/spreadsheetml/2006/main">
  <c r="G28" i="47"/>
  <c r="E28"/>
  <c r="G29"/>
  <c r="E29"/>
  <c r="G27"/>
  <c r="E27"/>
  <c r="G31" l="1"/>
  <c r="G30"/>
  <c r="G26"/>
  <c r="G20"/>
  <c r="G24"/>
  <c r="G23"/>
  <c r="G22"/>
  <c r="G25"/>
  <c r="G21"/>
  <c r="G18"/>
  <c r="G19"/>
  <c r="G17"/>
  <c r="G16"/>
  <c r="G14"/>
  <c r="G15"/>
  <c r="G13"/>
  <c r="G12"/>
  <c r="G11"/>
  <c r="G10"/>
  <c r="G9"/>
  <c r="G8"/>
  <c r="G7"/>
  <c r="E31"/>
  <c r="E30"/>
  <c r="E26"/>
  <c r="E24"/>
  <c r="E23"/>
  <c r="E22"/>
  <c r="E25"/>
  <c r="E21"/>
  <c r="E18"/>
  <c r="E19"/>
  <c r="E17"/>
  <c r="E16"/>
  <c r="E14"/>
  <c r="E15"/>
  <c r="E13"/>
  <c r="E12"/>
  <c r="E11"/>
  <c r="E10"/>
  <c r="E9"/>
  <c r="E8"/>
  <c r="E7"/>
  <c r="E20"/>
  <c r="H12" l="1"/>
  <c r="H33" s="1"/>
  <c r="B20" i="51" l="1"/>
  <c r="L29" i="36" l="1"/>
  <c r="L27"/>
  <c r="L25"/>
  <c r="L22"/>
  <c r="L20"/>
  <c r="L18"/>
  <c r="L13"/>
  <c r="K20" i="51" s="1"/>
  <c r="L15" i="36"/>
  <c r="L11"/>
  <c r="I33" i="47" l="1"/>
  <c r="K30" i="2" l="1"/>
  <c r="K26"/>
  <c r="I26"/>
  <c r="H26" l="1"/>
  <c r="H30" s="1"/>
  <c r="F26"/>
  <c r="C26"/>
  <c r="A3" l="1"/>
  <c r="B3" i="47"/>
  <c r="C27" i="51"/>
  <c r="D16" i="82" l="1"/>
  <c r="H17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I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E26" i="2"/>
  <c r="E30" s="1"/>
  <c r="C26" i="51"/>
  <c r="C17"/>
  <c r="F16"/>
  <c r="F17" s="1"/>
  <c r="H16"/>
  <c r="H17" s="1"/>
  <c r="H18" s="1"/>
  <c r="J16"/>
  <c r="N7" i="2"/>
  <c r="M7"/>
  <c r="C32" i="51"/>
  <c r="A3"/>
  <c r="C40"/>
  <c r="C33"/>
  <c r="C31"/>
  <c r="K24"/>
  <c r="C25"/>
  <c r="C31" i="47"/>
  <c r="I7" i="36"/>
  <c r="A20" i="2" s="1"/>
  <c r="N20" s="1"/>
  <c r="H7" i="36"/>
  <c r="A19" i="2" s="1"/>
  <c r="N19" s="1"/>
  <c r="G7" i="36"/>
  <c r="A18" i="2" s="1"/>
  <c r="N18" s="1"/>
  <c r="I6" i="3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G4" i="36"/>
  <c r="A9" i="2" s="1"/>
  <c r="I6"/>
  <c r="F6"/>
  <c r="C6"/>
  <c r="C9" l="1"/>
  <c r="D9"/>
  <c r="M9"/>
  <c r="N10"/>
  <c r="M10"/>
  <c r="J10"/>
  <c r="J16" i="82"/>
  <c r="J14"/>
  <c r="J12"/>
  <c r="J10"/>
  <c r="J8"/>
  <c r="J7"/>
  <c r="J15"/>
  <c r="J13"/>
  <c r="J11"/>
  <c r="J9"/>
  <c r="G17"/>
  <c r="I17" s="1"/>
  <c r="G18" s="1"/>
  <c r="I18" s="1"/>
  <c r="E17"/>
  <c r="K6" i="51"/>
  <c r="M20" i="2"/>
  <c r="M18"/>
  <c r="M16"/>
  <c r="M14"/>
  <c r="M12"/>
  <c r="N9"/>
  <c r="M19"/>
  <c r="M17"/>
  <c r="M15"/>
  <c r="M13"/>
  <c r="M11"/>
  <c r="J17" i="51"/>
  <c r="J18" s="1"/>
  <c r="F18"/>
  <c r="G6"/>
  <c r="I6"/>
  <c r="E24"/>
  <c r="K11"/>
  <c r="I11"/>
  <c r="I24"/>
  <c r="I27" s="1"/>
  <c r="G11"/>
  <c r="G24"/>
  <c r="G27" s="1"/>
  <c r="C6" i="40"/>
  <c r="E26" i="51" l="1"/>
  <c r="E31"/>
  <c r="E27"/>
  <c r="C18" i="82"/>
  <c r="E18" s="1"/>
  <c r="J17"/>
  <c r="G25" i="51"/>
  <c r="G26"/>
  <c r="I26"/>
  <c r="I25"/>
  <c r="M21" i="2"/>
  <c r="G33" i="51"/>
  <c r="E33"/>
  <c r="E32"/>
  <c r="G31"/>
  <c r="G32"/>
  <c r="I31"/>
  <c r="I32"/>
  <c r="E40"/>
  <c r="E25"/>
  <c r="N21" i="2"/>
  <c r="I33" i="51"/>
  <c r="C19" i="82" l="1"/>
  <c r="E19" s="1"/>
  <c r="J18"/>
  <c r="K25" i="51"/>
  <c r="K26"/>
  <c r="K33"/>
  <c r="K32"/>
  <c r="K31"/>
  <c r="K27"/>
  <c r="C8" l="1"/>
  <c r="C9"/>
  <c r="C7"/>
  <c r="I19" i="2" l="1"/>
  <c r="D19"/>
  <c r="C19"/>
  <c r="J19"/>
  <c r="I11"/>
  <c r="D11"/>
  <c r="J11"/>
  <c r="C11"/>
  <c r="J16"/>
  <c r="C16"/>
  <c r="I16"/>
  <c r="D16"/>
  <c r="I15"/>
  <c r="D15"/>
  <c r="J15"/>
  <c r="C15"/>
  <c r="J20"/>
  <c r="C20"/>
  <c r="I20"/>
  <c r="D20"/>
  <c r="J12"/>
  <c r="C12"/>
  <c r="I12"/>
  <c r="D12"/>
  <c r="I17"/>
  <c r="D17"/>
  <c r="J17"/>
  <c r="C17"/>
  <c r="I13"/>
  <c r="D13"/>
  <c r="J13"/>
  <c r="C13"/>
  <c r="J18"/>
  <c r="C18"/>
  <c r="I18"/>
  <c r="D18"/>
  <c r="J14"/>
  <c r="C14"/>
  <c r="I14"/>
  <c r="D14"/>
  <c r="C10"/>
  <c r="I10"/>
  <c r="D10"/>
  <c r="I9"/>
  <c r="J9"/>
  <c r="E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O9" i="2" l="1"/>
  <c r="E10"/>
  <c r="J21"/>
  <c r="G21"/>
  <c r="F21"/>
  <c r="I21"/>
  <c r="E11" l="1"/>
  <c r="O10"/>
  <c r="K9"/>
  <c r="K10" l="1"/>
  <c r="E12"/>
  <c r="E13" s="1"/>
  <c r="O11"/>
  <c r="C21"/>
  <c r="D21"/>
  <c r="K11" l="1"/>
  <c r="O12"/>
  <c r="O13" s="1"/>
  <c r="E14"/>
  <c r="I34" i="51"/>
  <c r="I28"/>
  <c r="K34"/>
  <c r="G34"/>
  <c r="O14" i="2" l="1"/>
  <c r="K12"/>
  <c r="K13" s="1"/>
  <c r="E15"/>
  <c r="I36" i="51"/>
  <c r="O15" i="2" l="1"/>
  <c r="E16"/>
  <c r="K14"/>
  <c r="K15" l="1"/>
  <c r="E17"/>
  <c r="O16"/>
  <c r="E18" l="1"/>
  <c r="E8" i="51"/>
  <c r="K16" i="2"/>
  <c r="O17"/>
  <c r="E15" i="51" s="1"/>
  <c r="E7"/>
  <c r="E34"/>
  <c r="E19" i="2" l="1"/>
  <c r="G8" i="51"/>
  <c r="K17" i="2"/>
  <c r="E9" i="51" s="1"/>
  <c r="O18" i="2"/>
  <c r="G15" i="51" s="1"/>
  <c r="E28"/>
  <c r="K28"/>
  <c r="K36" s="1"/>
  <c r="G28"/>
  <c r="G36" s="1"/>
  <c r="E20" i="2" l="1"/>
  <c r="O19"/>
  <c r="I15" i="51" s="1"/>
  <c r="I8"/>
  <c r="K18" i="2"/>
  <c r="G9" i="51" s="1"/>
  <c r="G7"/>
  <c r="E36"/>
  <c r="E10"/>
  <c r="E21" i="2"/>
  <c r="E24" l="1"/>
  <c r="G10" i="51"/>
  <c r="G16" s="1"/>
  <c r="G17" s="1"/>
  <c r="G18" s="1"/>
  <c r="E31" i="2"/>
  <c r="K19"/>
  <c r="I9" i="51" s="1"/>
  <c r="O20" i="2"/>
  <c r="I7" i="51"/>
  <c r="E16"/>
  <c r="H24" i="2" l="1"/>
  <c r="I10" i="51"/>
  <c r="K8"/>
  <c r="O21" i="2"/>
  <c r="K15" i="51"/>
  <c r="H31" i="2"/>
  <c r="K20"/>
  <c r="I16" i="51"/>
  <c r="I17" s="1"/>
  <c r="I18" s="1"/>
  <c r="K7"/>
  <c r="E17"/>
  <c r="E18" s="1"/>
  <c r="K21" i="2"/>
  <c r="K24" l="1"/>
  <c r="K31"/>
  <c r="K9" i="51"/>
  <c r="K10" s="1"/>
  <c r="K16" l="1"/>
  <c r="K17" s="1"/>
  <c r="K18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<sst xmlns="http://schemas.openxmlformats.org/spreadsheetml/2006/main" count="275" uniqueCount="169">
  <si>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</si>
  <si>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</si>
  <si>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</si>
  <si>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</si>
  <si>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</si>
  <si>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</si>
  <si>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</si>
  <si>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</si>
  <si>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</si>
  <si>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</si>
  <si>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</si>
  <si>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</si>
  <si>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</si>
  <si>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</si>
  <si>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</si>
  <si>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</si>
  <si>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</si>
  <si>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</si>
  <si>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</si>
  <si>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</si>
  <si>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</si>
  <si>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</si>
  <si>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</si>
  <si>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</si>
  <si>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</si>
  <si>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</si>
  <si>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</si>
  <si>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</si>
  <si>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</si>
  <si>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</si>
  <si>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</si>
  <si>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</si>
  <si>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</si>
  <si>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</si>
  <si>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</si>
  <si>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</si>
  <si>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</si>
  <si>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</si>
  <si>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</si>
  <si>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</si>
  <si>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</si>
  <si>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</si>
  <si>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</si>
  <si>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</si>
  <si>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</si>
  <si>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</si>
  <si>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</si>
  <si>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</si>
  <si>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</si>
  <si>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</si>
  <si>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</si>
  <si>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</si>
  <si>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</si>
  <si>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</si>
  <si>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</si>
  <si>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</si>
  <si>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</si>
  <si>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</si>
  <si>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</si>
  <si>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</si>
  <si>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</si>
  <si>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</si>
  <si>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</si>
  <si>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</si>
  <si>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</si>
  <si>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</si>
  <si>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</si>
  <si>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</si>
  <si>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</si>
  <si>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</si>
  <si>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</si>
  <si>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</si>
  <si>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</si>
  <si>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</si>
  <si>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</si>
  <si>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</si>
  <si>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</si>
  <si>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</si>
  <si>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</si>
  <si>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</si>
  <si>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</si>
  <si>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</si>
  <si>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</si>
  <si>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</si>
  <si>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</si>
  <si>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</si>
  <si>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</si>
  <si>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</si>
  <si>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</si>
  <si>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</si>
  <si>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</si>
  <si>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</si>
  <si>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</si>
  <si>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</si>
  <si>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</si>
  <si>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</si>
  <si>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</si>
  <si>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</si>
  <si>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</si>
  <si>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</si>
  <si>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</si>
  <si>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Reconciliation</t>
  </si>
  <si>
    <t xml:space="preserve">Curr Stmt.  </t>
  </si>
  <si>
    <t xml:space="preserve">CheckSum: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</si>
  <si>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</si>
  <si>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</si>
  <si>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</si>
  <si>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</si>
  <si>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</si>
  <si>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</si>
  <si>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</si>
  <si>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</si>
  <si>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</si>
  <si>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</si>
  <si>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</si>
  <si>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</si>
  <si>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</si>
  <si>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</si>
  <si>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</si>
  <si>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</si>
  <si>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</si>
  <si>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</si>
  <si>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</si>
  <si>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</si>
  <si>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</si>
  <si>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</si>
  <si>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</si>
  <si>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</si>
  <si>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</si>
  <si>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</si>
  <si>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</si>
  <si>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</si>
  <si>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</si>
  <si>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</si>
  <si>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</si>
  <si>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</si>
  <si>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</si>
  <si>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</si>
  <si>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</si>
  <si>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</si>
  <si>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</si>
  <si>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</si>
  <si>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</si>
  <si>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</si>
  <si>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</si>
  <si>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statement</t>
  </si>
  <si>
    <t>4% of Rolling 16qtr Avg Total Assets</t>
  </si>
  <si>
    <t>5% of Rolling 16qtr Avg Total Assets</t>
  </si>
  <si>
    <t>6% of Rolling 16qtr Avg Total Assets</t>
  </si>
  <si>
    <t>4% of Rolling 12qtr Avg Total Assets</t>
  </si>
  <si>
    <t>5% of Rolling 12qtr Avg Total Assets</t>
  </si>
  <si>
    <t>6% of Rolling 12qtr Avg Total Assets</t>
  </si>
  <si>
    <t>4% of Rolling 20qtr Avg Total Assets</t>
  </si>
  <si>
    <t>5% of Rolling 20qtr Avg Total Assets</t>
  </si>
  <si>
    <t>6% of Rolling 20qtr Avg Total Assets</t>
  </si>
  <si>
    <t>Donation in memory of Paul Clausen $35</t>
  </si>
  <si>
    <t>Donation in memory of Dave Schultz $50</t>
  </si>
  <si>
    <t>9/29 in mem of Dean Bertelsen by T&amp;M Hauch</t>
  </si>
  <si>
    <t>9/8 by Gary &amp; Kathy Andersen</t>
  </si>
  <si>
    <t>9/8 in mem of Gary Swiden by T&amp;M Hauch</t>
  </si>
  <si>
    <t>8/24 in mem of Julie Oesau by T&amp;M Hauch</t>
  </si>
  <si>
    <t>from closing Johndon Bank Checking acct</t>
  </si>
  <si>
    <t>Sept statement</t>
  </si>
  <si>
    <t>Close Account 8/17/2021</t>
  </si>
  <si>
    <t>Aug statement</t>
  </si>
  <si>
    <t>July statement</t>
  </si>
  <si>
    <t>** Use 'Change in Investment Value' value from Fidelity statement, not total change</t>
  </si>
  <si>
    <t>10/4 in mem of Gary Swiden by K&amp;MJ Canman</t>
  </si>
  <si>
    <t>$20-11/11 in mem of Gary Swiden by Neil&amp;Linda Honsberger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</si>
</sst>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43" fontId="8" fillId="0" borderId="2" xfId="1" applyNumberFormat="1" applyFont="1" applyFill="1" applyBorder="1" applyAlignment="1">
      <alignment horizontal="center" vertical="top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1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30"/>
  <sheetViews>
    <sheetView showGridLines="0" workbookViewId="0">
      <selection activeCell="M43" sqref="M43"/>
    </sheetView>
  </sheetViews>
  <sheetFormatPr defaultColWidth="8.7109375" defaultRowHeight="1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4.5703125" style="18" customWidth="1"/>
    <col min="14" max="14" width="17.28515625" style="18" customWidth="1"/>
    <col min="15" max="16384" width="8.7109375" style="18"/>
  </cols>
  <sheetData>
    <row r="1" spans="1:15" ht="20.25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20.25">
      <c r="A2" s="169" t="s">
        <v>79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5" ht="20.25">
      <c r="A3" s="169" t="str">
        <f>VLOOKUP(CurrQtr,LKQtr,5)&amp;", "&amp;CurrentYr</f>
        <v>3rd Quarter, 2021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93"/>
    </row>
    <row r="4" spans="1:15" ht="9.9499999999999993" customHeight="1" thickBot="1">
      <c r="G4" s="17"/>
      <c r="H4" s="17"/>
      <c r="I4" s="17"/>
      <c r="J4" s="17"/>
      <c r="K4" s="17"/>
    </row>
    <row r="5" spans="1:15" ht="6.6" customHeight="1" thickTop="1">
      <c r="A5" s="24"/>
      <c r="B5" s="25"/>
      <c r="C5" s="25"/>
      <c r="D5" s="25"/>
      <c r="E5" s="25"/>
      <c r="F5" s="25"/>
      <c r="G5" s="122"/>
      <c r="H5" s="122"/>
      <c r="I5" s="122"/>
      <c r="J5" s="122"/>
      <c r="K5" s="122"/>
      <c r="L5" s="26"/>
    </row>
    <row r="6" spans="1:15" ht="47.25">
      <c r="A6" s="28"/>
      <c r="B6" s="100" t="s">
        <v>35</v>
      </c>
      <c r="E6" s="99" t="s">
        <v>68</v>
      </c>
      <c r="G6" s="99" t="str">
        <f>VLOOKUP(CurrQtr,LKQtr,2)</f>
        <v>July</v>
      </c>
      <c r="H6" s="17"/>
      <c r="I6" s="99" t="str">
        <f>VLOOKUP(CurrQtr,LKQtr,3)</f>
        <v>August</v>
      </c>
      <c r="J6" s="17"/>
      <c r="K6" s="99" t="str">
        <f>VLOOKUP(CurrQtr,LKQtr,4)&amp;" (Quarter End Balance)"</f>
        <v>September (Quarter End Balance)</v>
      </c>
      <c r="L6" s="27"/>
    </row>
    <row r="7" spans="1:15">
      <c r="A7" s="28"/>
      <c r="B7" s="95">
        <v>1000</v>
      </c>
      <c r="C7" s="17" t="str">
        <f>IF(B7="","",VLOOKUP(B7,Chart,2))</f>
        <v>Fidelity Investments</v>
      </c>
      <c r="E7" s="19">
        <f>VLOOKUP(IF(CurrQtr=1,0,IF(CurrQtr=2,3,IF(CurrQtr=3,6,9))),BankAccounts,4)</f>
        <v>188131.26</v>
      </c>
      <c r="G7" s="19">
        <f>VLOOKUP(IF(CurrQtr=1,1,IF(CurrQtr=2,4,IF(CurrQtr=3,7,10))),BankAccounts,4)</f>
        <v>188599.79</v>
      </c>
      <c r="H7" s="17"/>
      <c r="I7" s="19">
        <f>VLOOKUP(IF(CurrQtr=1,2,IF(CurrQtr=2,5,IF(CurrQtr=3,8,11))),BankAccounts,4)</f>
        <v>191672.21000000002</v>
      </c>
      <c r="J7" s="17"/>
      <c r="K7" s="19">
        <f>VLOOKUP(IF(CurrQtr=1,3,IF(CurrQtr=2,6,IF(CurrQtr=3,9,12))),BankAccounts,4)</f>
        <v>187328.77000000002</v>
      </c>
      <c r="L7" s="27"/>
      <c r="M7" s="20"/>
      <c r="N7" s="19"/>
      <c r="O7" s="19"/>
    </row>
    <row r="8" spans="1:15">
      <c r="A8" s="28"/>
      <c r="B8" s="95">
        <v>1010</v>
      </c>
      <c r="C8" s="17" t="str">
        <f>IF(B8="","",VLOOKUP(B8,Chart,2))</f>
        <v>Johnson Bank - Checking</v>
      </c>
      <c r="E8" s="19">
        <f>VLOOKUP(IF(CurrQtr=1,0,IF(CurrQtr=2,3,IF(CurrQtr=3,6,9))),BankAccounts,7)</f>
        <v>561.25</v>
      </c>
      <c r="G8" s="19">
        <f>VLOOKUP(IF(CurrQtr=1,1,IF(CurrQtr=2,4,IF(CurrQtr=3,7,10))),BankAccounts,7)</f>
        <v>561.25</v>
      </c>
      <c r="H8" s="17"/>
      <c r="I8" s="19">
        <f>VLOOKUP(IF(CurrQtr=1,2,IF(CurrQtr=2,5,IF(CurrQtr=3,8,11))),BankAccounts,7)</f>
        <v>0.25</v>
      </c>
      <c r="J8" s="17"/>
      <c r="K8" s="19">
        <f>VLOOKUP(IF(CurrQtr=1,3,IF(CurrQtr=2,6,IF(CurrQtr=3,9,12))),BankAccounts,7)</f>
        <v>0.25</v>
      </c>
      <c r="L8" s="27"/>
    </row>
    <row r="9" spans="1:15">
      <c r="A9" s="28"/>
      <c r="B9" s="95">
        <v>1020</v>
      </c>
      <c r="C9" s="17" t="str">
        <f>IF(B9="","",VLOOKUP(B9,Chart,2))</f>
        <v>Racine Community Foundation</v>
      </c>
      <c r="E9" s="19">
        <f>VLOOKUP(IF(CurrQtr=1,0,IF(CurrQtr=2,3,IF(CurrQtr=3,6,9))),BankAccounts,10)</f>
        <v>29298.06</v>
      </c>
      <c r="G9" s="19">
        <f>VLOOKUP(IF(CurrQtr=1,1,IF(CurrQtr=2,4,IF(CurrQtr=3,7,10))),BankAccounts,10)</f>
        <v>29298.06</v>
      </c>
      <c r="H9" s="17"/>
      <c r="I9" s="19">
        <f>VLOOKUP(IF(CurrQtr=1,2,IF(CurrQtr=2,5,IF(CurrQtr=3,8,11))),BankAccounts,10)</f>
        <v>29298.06</v>
      </c>
      <c r="J9" s="17"/>
      <c r="K9" s="19">
        <f>VLOOKUP(IF(CurrQtr=1,3,IF(CurrQtr=2,6,IF(CurrQtr=3,9,12))),BankAccounts,10)</f>
        <v>29298.06</v>
      </c>
      <c r="L9" s="27"/>
    </row>
    <row r="10" spans="1:15" ht="11.25" customHeight="1" thickBot="1">
      <c r="A10" s="28"/>
      <c r="B10" s="43" t="s">
        <v>34</v>
      </c>
      <c r="C10" s="43"/>
      <c r="D10" s="43"/>
      <c r="E10" s="63">
        <f>SUM(E7:E9)</f>
        <v>217990.57</v>
      </c>
      <c r="F10" s="43"/>
      <c r="G10" s="63">
        <f>SUM(G7:G9)</f>
        <v>218459.1</v>
      </c>
      <c r="H10" s="17"/>
      <c r="I10" s="63">
        <f>SUM(I7:I9)</f>
        <v>220970.52000000002</v>
      </c>
      <c r="J10" s="17"/>
      <c r="K10" s="63">
        <f>SUM(K7:K9)</f>
        <v>216627.08000000002</v>
      </c>
      <c r="L10" s="27"/>
      <c r="M10" s="20"/>
      <c r="N10" s="20"/>
    </row>
    <row r="11" spans="1:15" ht="16.5" hidden="1" thickTop="1">
      <c r="A11" s="28"/>
      <c r="E11" s="20"/>
      <c r="G11" s="99" t="str">
        <f>VLOOKUP(CurrQtr,LKQtr,2)</f>
        <v>July</v>
      </c>
      <c r="H11" s="17"/>
      <c r="I11" s="99" t="str">
        <f>VLOOKUP(CurrQtr,LKQtr,2)</f>
        <v>July</v>
      </c>
      <c r="J11" s="17"/>
      <c r="K11" s="99" t="str">
        <f>VLOOKUP(CurrQtr,LKQtr,2)</f>
        <v>July</v>
      </c>
      <c r="L11" s="27"/>
    </row>
    <row r="12" spans="1:15" ht="16.5" thickTop="1">
      <c r="A12" s="28"/>
      <c r="B12" s="43"/>
      <c r="C12" s="43"/>
      <c r="D12" s="43"/>
      <c r="E12" s="64"/>
      <c r="F12" s="43"/>
      <c r="G12" s="64"/>
      <c r="H12" s="17"/>
      <c r="I12" s="17"/>
      <c r="J12" s="17"/>
      <c r="K12" s="23"/>
      <c r="L12" s="27"/>
    </row>
    <row r="13" spans="1:15" ht="3.95" customHeight="1">
      <c r="A13" s="28"/>
      <c r="E13" s="20"/>
      <c r="G13" s="20"/>
      <c r="H13" s="17"/>
      <c r="I13" s="17"/>
      <c r="J13" s="17"/>
      <c r="K13" s="94"/>
      <c r="L13" s="27"/>
    </row>
    <row r="14" spans="1:15">
      <c r="A14" s="28"/>
      <c r="B14" s="18" t="s">
        <v>83</v>
      </c>
      <c r="E14" s="20"/>
      <c r="G14" s="20"/>
      <c r="H14" s="17"/>
      <c r="I14" s="17"/>
      <c r="J14" s="17"/>
      <c r="K14" s="23"/>
      <c r="L14" s="27"/>
    </row>
    <row r="15" spans="1:15">
      <c r="A15" s="28"/>
      <c r="C15" s="18" t="s">
        <v>75</v>
      </c>
      <c r="E15" s="19">
        <f>VLOOKUP(IF(CurrQtr=1,0,IF(CurrQtr=2,3,IF(CurrQtr=3,6,9))),BankAccounts,14)</f>
        <v>129368.65</v>
      </c>
      <c r="G15" s="19">
        <f>VLOOKUP(IF(CurrQtr=1,1,IF(CurrQtr=2,4,IF(CurrQtr=3,7,10))),BankAccounts,14)</f>
        <v>129368.65</v>
      </c>
      <c r="H15" s="17"/>
      <c r="I15" s="19">
        <f>VLOOKUP(IF(CurrQtr=1,2,IF(CurrQtr=2,5,IF(CurrQtr=3,8,11))),BankAccounts,14)</f>
        <v>129418.65</v>
      </c>
      <c r="J15" s="17"/>
      <c r="K15" s="19">
        <f>VLOOKUP(IF(CurrQtr=1,3,IF(CurrQtr=2,6,IF(CurrQtr=3,9,12))),BankAccounts,14)</f>
        <v>129543.65</v>
      </c>
      <c r="L15" s="27"/>
      <c r="M15" s="20"/>
      <c r="O15" s="127"/>
    </row>
    <row r="16" spans="1:15">
      <c r="A16" s="28"/>
      <c r="C16" s="18" t="s">
        <v>91</v>
      </c>
      <c r="E16" s="20">
        <f>+E10-E15</f>
        <v>88621.920000000013</v>
      </c>
      <c r="F16" s="20">
        <f t="shared" ref="F16:K16" si="0">+F10-F15</f>
        <v>0</v>
      </c>
      <c r="G16" s="20">
        <f t="shared" si="0"/>
        <v>89090.450000000012</v>
      </c>
      <c r="H16" s="20">
        <f t="shared" si="0"/>
        <v>0</v>
      </c>
      <c r="I16" s="20">
        <f t="shared" si="0"/>
        <v>91551.870000000024</v>
      </c>
      <c r="J16" s="20">
        <f t="shared" si="0"/>
        <v>0</v>
      </c>
      <c r="K16" s="20">
        <f t="shared" si="0"/>
        <v>87083.430000000022</v>
      </c>
      <c r="L16" s="27"/>
      <c r="M16" s="20"/>
    </row>
    <row r="17" spans="1:15">
      <c r="A17" s="28"/>
      <c r="B17" s="120"/>
      <c r="C17" s="18" t="str">
        <f>Reserve*100&amp;"% Reserve (of available funds)"</f>
        <v>15% Reserve (of available funds)</v>
      </c>
      <c r="E17" s="20">
        <f t="shared" ref="E17:K17" si="1">+E16*Reserve</f>
        <v>13293.288000000002</v>
      </c>
      <c r="F17" s="20">
        <f t="shared" si="1"/>
        <v>0</v>
      </c>
      <c r="G17" s="20">
        <f t="shared" si="1"/>
        <v>13363.567500000001</v>
      </c>
      <c r="H17" s="20">
        <f t="shared" si="1"/>
        <v>0</v>
      </c>
      <c r="I17" s="20">
        <f t="shared" si="1"/>
        <v>13732.780500000003</v>
      </c>
      <c r="J17" s="20">
        <f t="shared" si="1"/>
        <v>0</v>
      </c>
      <c r="K17" s="20">
        <f t="shared" si="1"/>
        <v>13062.514500000003</v>
      </c>
      <c r="L17" s="27"/>
      <c r="M17" s="20"/>
      <c r="O17" s="127"/>
    </row>
    <row r="18" spans="1:15" ht="16.5" thickBot="1">
      <c r="A18" s="28"/>
      <c r="B18" s="43" t="s">
        <v>85</v>
      </c>
      <c r="C18" s="43"/>
      <c r="D18" s="43"/>
      <c r="E18" s="63">
        <f>+E16-E17</f>
        <v>75328.632000000012</v>
      </c>
      <c r="F18" s="63">
        <f t="shared" ref="F18:K18" si="2">+F16-F17</f>
        <v>0</v>
      </c>
      <c r="G18" s="63">
        <f t="shared" si="2"/>
        <v>75726.882500000007</v>
      </c>
      <c r="H18" s="63">
        <f t="shared" si="2"/>
        <v>0</v>
      </c>
      <c r="I18" s="63">
        <f t="shared" si="2"/>
        <v>77819.089500000016</v>
      </c>
      <c r="J18" s="63">
        <f t="shared" si="2"/>
        <v>0</v>
      </c>
      <c r="K18" s="63">
        <f t="shared" si="2"/>
        <v>74020.915500000017</v>
      </c>
      <c r="L18" s="27"/>
      <c r="M18" s="20"/>
    </row>
    <row r="19" spans="1:15" ht="16.5" thickTop="1">
      <c r="A19" s="28"/>
      <c r="B19" s="43"/>
      <c r="C19" s="166" t="s">
        <v>92</v>
      </c>
      <c r="D19" s="43"/>
      <c r="E19" s="125"/>
      <c r="F19" s="125"/>
      <c r="G19" s="125"/>
      <c r="H19" s="125"/>
      <c r="I19" s="125"/>
      <c r="J19" s="125"/>
      <c r="K19" s="125"/>
      <c r="L19" s="27"/>
      <c r="M19" s="20"/>
    </row>
    <row r="20" spans="1:15" ht="15.75">
      <c r="A20" s="28"/>
      <c r="B20" s="43" t="str">
        <f>"Reasonable &amp; Prudent Annual Spendable (" &amp; 'Chart of Accounts'!$L$12 &amp; ")"</f>
        <v>Reasonable &amp; Prudent Annual Spendable (5% of Rolling 16qtr Avg Total Assets)</v>
      </c>
      <c r="C20" s="126"/>
      <c r="D20" s="43"/>
      <c r="E20" s="125"/>
      <c r="F20" s="125"/>
      <c r="G20" s="125"/>
      <c r="H20" s="125"/>
      <c r="I20" s="125"/>
      <c r="J20" s="125"/>
      <c r="K20" s="125">
        <f>'Chart of Accounts'!$L$13</f>
        <v>8969.2836562500015</v>
      </c>
      <c r="L20" s="27"/>
      <c r="M20" s="20"/>
      <c r="N20" s="20"/>
    </row>
    <row r="21" spans="1:15" ht="12.95" customHeight="1" thickBot="1">
      <c r="A21" s="29"/>
      <c r="B21" s="30"/>
      <c r="C21" s="30"/>
      <c r="D21" s="30"/>
      <c r="E21" s="90"/>
      <c r="F21" s="30"/>
      <c r="G21" s="90"/>
      <c r="H21" s="33"/>
      <c r="I21" s="33"/>
      <c r="J21" s="33"/>
      <c r="K21" s="123"/>
      <c r="L21" s="32"/>
    </row>
    <row r="22" spans="1:15" ht="9.9499999999999993" customHeight="1" thickTop="1" thickBot="1">
      <c r="B22" s="30"/>
      <c r="C22" s="30"/>
      <c r="D22" s="30"/>
      <c r="E22" s="31"/>
      <c r="G22" s="23"/>
      <c r="K22" s="91"/>
    </row>
    <row r="23" spans="1:15" ht="22.5" customHeight="1" thickTop="1">
      <c r="A23" s="24"/>
      <c r="B23" s="170" t="s">
        <v>40</v>
      </c>
      <c r="C23" s="170"/>
      <c r="D23" s="170"/>
      <c r="E23" s="170"/>
      <c r="F23" s="170"/>
      <c r="G23" s="170"/>
      <c r="H23" s="170"/>
      <c r="I23" s="170"/>
      <c r="J23" s="170"/>
      <c r="K23" s="170"/>
      <c r="L23" s="26"/>
    </row>
    <row r="24" spans="1:15" ht="31.5">
      <c r="A24" s="28"/>
      <c r="B24" s="108" t="s">
        <v>36</v>
      </c>
      <c r="E24" s="171" t="str">
        <f>VLOOKUP(CurrQtr,LKQtr,2)</f>
        <v>July</v>
      </c>
      <c r="F24" s="171"/>
      <c r="G24" s="171" t="str">
        <f>VLOOKUP(CurrQtr,LKQtr,3)</f>
        <v>August</v>
      </c>
      <c r="H24" s="171"/>
      <c r="I24" s="171" t="str">
        <f>VLOOKUP(CurrQtr,LKQtr,4)</f>
        <v>September</v>
      </c>
      <c r="J24" s="171"/>
      <c r="K24" s="69" t="str">
        <f>"Total "&amp;VLOOKUP(CurrQtr,LKQtr,5)</f>
        <v>Total 3rd Quarter</v>
      </c>
      <c r="L24" s="27"/>
    </row>
    <row r="25" spans="1:15">
      <c r="A25" s="28"/>
      <c r="B25" s="107">
        <v>4000</v>
      </c>
      <c r="C25" s="17" t="str">
        <f>VLOOKUP(B25,Accounts,2)</f>
        <v>Contributions (Principal Increase)</v>
      </c>
      <c r="E25" s="19">
        <f>SUMIFS(SumRevenue,SumMonth,E$24,SumAccount,$B25)</f>
        <v>0</v>
      </c>
      <c r="F25" s="19"/>
      <c r="G25" s="19">
        <f>SUMIFS(SumRevenue,SumMonth,G$24,SumAccount,$B25)</f>
        <v>50</v>
      </c>
      <c r="H25" s="19"/>
      <c r="I25" s="19">
        <f>SUMIFS(SumRevenue,SumMonth,I$24,SumAccount,$B25)</f>
        <v>125</v>
      </c>
      <c r="J25" s="19"/>
      <c r="K25" s="20">
        <f>SUM(E25:I25)</f>
        <v>175</v>
      </c>
      <c r="L25" s="27"/>
      <c r="M25" s="20"/>
    </row>
    <row r="26" spans="1:15">
      <c r="A26" s="28"/>
      <c r="B26" s="107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 s="20"/>
    </row>
    <row r="27" spans="1:15">
      <c r="A27" s="28"/>
      <c r="B27" s="107">
        <v>4020</v>
      </c>
      <c r="C27" s="17" t="str">
        <f>VLOOKUP(B27,Accounts,2)&amp;" (Net)"</f>
        <v>Change in Investment Value (Net)</v>
      </c>
      <c r="E27" s="109">
        <f>SUMIFS(SumRevenue,SumMonth,E$24,SumAccount,$B27)-SUMIFS(SumExp,SumMonth,E$24,SumAccount,$B27)</f>
        <v>468.53</v>
      </c>
      <c r="F27" s="110"/>
      <c r="G27" s="109">
        <f>SUMIFS(SumRevenue,SumMonth,G$24,SumAccount,$B27)-SUMIFS(SumExp,SumMonth,G$24,SumAccount,$B27)</f>
        <v>2461.17</v>
      </c>
      <c r="H27" s="111"/>
      <c r="I27" s="109">
        <f>SUMIFS(SumRevenue,SumMonth,I$24,SumAccount,$B27)-SUMIFS(SumExp,SumMonth,I$24,SumAccount,$B27)</f>
        <v>-4468.4399999999996</v>
      </c>
      <c r="J27" s="111"/>
      <c r="K27" s="112">
        <f>SUM(E27:I27)</f>
        <v>-1538.7399999999998</v>
      </c>
      <c r="L27" s="27"/>
    </row>
    <row r="28" spans="1:15" ht="20.25">
      <c r="A28" s="28"/>
      <c r="B28" s="43" t="s">
        <v>37</v>
      </c>
      <c r="C28" s="62"/>
      <c r="D28" s="65"/>
      <c r="E28" s="66">
        <f>SUM(E25:E27)</f>
        <v>468.53</v>
      </c>
      <c r="F28" s="65"/>
      <c r="G28" s="66">
        <f>SUM(G25:G27)</f>
        <v>2511.17</v>
      </c>
      <c r="H28" s="62"/>
      <c r="I28" s="66">
        <f>SUM(I25:I27)</f>
        <v>-4343.4399999999996</v>
      </c>
      <c r="J28" s="67"/>
      <c r="K28" s="66">
        <f>SUM(K25:K27)</f>
        <v>-1363.7399999999998</v>
      </c>
      <c r="L28" s="27"/>
      <c r="M28" s="20"/>
    </row>
    <row r="29" spans="1:15" ht="7.5" customHeight="1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</row>
    <row r="30" spans="1:15" ht="17.25">
      <c r="A30" s="28"/>
      <c r="B30" s="43" t="s">
        <v>38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</row>
    <row r="31" spans="1:15" ht="15.6" customHeight="1">
      <c r="A31" s="28"/>
      <c r="B31" s="107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</row>
    <row r="32" spans="1:15" ht="15.6" customHeight="1">
      <c r="A32" s="28"/>
      <c r="B32" s="107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</row>
    <row r="33" spans="1:14" ht="15.6" customHeight="1">
      <c r="A33" s="28"/>
      <c r="B33" s="107">
        <v>5050</v>
      </c>
      <c r="C33" s="17" t="str">
        <f>VLOOKUP(B33,Accounts,2)</f>
        <v>Reductions to Principal</v>
      </c>
      <c r="E33" s="109">
        <f>SUMIFS(SumExp,SumMonth,E$24,SumAccount,$B33)</f>
        <v>0</v>
      </c>
      <c r="F33" s="110"/>
      <c r="G33" s="109">
        <f>SUMIFS(SumExp,SumMonth,G$24,SumAccount,$B33)</f>
        <v>0</v>
      </c>
      <c r="H33" s="111"/>
      <c r="I33" s="109">
        <f>SUMIFS(SumExp,SumMonth,I$24,SumAccount,$B33)</f>
        <v>0</v>
      </c>
      <c r="J33" s="111"/>
      <c r="K33" s="112">
        <f>SUM(E33:I33)</f>
        <v>0</v>
      </c>
      <c r="L33" s="27"/>
    </row>
    <row r="34" spans="1:14" ht="15.6" customHeight="1">
      <c r="A34" s="28"/>
      <c r="B34" s="43" t="s">
        <v>33</v>
      </c>
      <c r="E34" s="66">
        <f>SUM(E31:E33)</f>
        <v>0</v>
      </c>
      <c r="G34" s="66">
        <f>SUM(G31:G33)</f>
        <v>0</v>
      </c>
      <c r="H34" s="62"/>
      <c r="I34" s="66">
        <f>SUM(I31:I33)</f>
        <v>0</v>
      </c>
      <c r="J34" s="67"/>
      <c r="K34" s="66">
        <f>SUM(K31:K33)</f>
        <v>0</v>
      </c>
      <c r="L34" s="27"/>
      <c r="M34" s="20"/>
      <c r="N34" s="20"/>
    </row>
    <row r="35" spans="1:14" ht="9" customHeight="1">
      <c r="A35" s="28"/>
      <c r="B35" s="43"/>
      <c r="E35" s="66"/>
      <c r="G35" s="66"/>
      <c r="H35" s="62"/>
      <c r="I35" s="66"/>
      <c r="J35" s="67"/>
      <c r="K35" s="66"/>
      <c r="L35" s="27"/>
    </row>
    <row r="36" spans="1:14" ht="15.6" customHeight="1" thickBot="1">
      <c r="A36" s="28"/>
      <c r="B36" s="43" t="s">
        <v>39</v>
      </c>
      <c r="E36" s="68">
        <f>+E28-E34</f>
        <v>468.53</v>
      </c>
      <c r="G36" s="68">
        <f>+G28-G34</f>
        <v>2511.17</v>
      </c>
      <c r="H36" s="62"/>
      <c r="I36" s="68">
        <f>+I28-I34</f>
        <v>-4343.4399999999996</v>
      </c>
      <c r="J36" s="67"/>
      <c r="K36" s="68">
        <f>+K28-K34</f>
        <v>-1363.7399999999998</v>
      </c>
      <c r="L36" s="27"/>
      <c r="M36" s="20"/>
    </row>
    <row r="37" spans="1:14" ht="11.1" customHeight="1" thickTop="1" thickBot="1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</row>
    <row r="38" spans="1:14" ht="15.75" thickTop="1">
      <c r="H38" s="17"/>
      <c r="J38" s="17"/>
      <c r="M38" s="20"/>
    </row>
    <row r="39" spans="1:14">
      <c r="A39" s="107" t="s">
        <v>76</v>
      </c>
      <c r="F39"/>
      <c r="G39"/>
      <c r="H39"/>
      <c r="I39"/>
      <c r="J39"/>
      <c r="K39"/>
      <c r="L39"/>
      <c r="M39"/>
    </row>
    <row r="40" spans="1:14">
      <c r="B40" s="107">
        <v>5020</v>
      </c>
      <c r="C40" s="113" t="str">
        <f>VLOOKUP(B40,Accounts,2)</f>
        <v>Transfer Funds</v>
      </c>
      <c r="E40" s="19" t="str">
        <f>IF(SUMIFS(SumRevenue,SumMonth,E$24,SumAccount,$B40)-SUMIFS(SumExp,SumMonth,E$24,SumAccount,$B40)=0,"","ERROR WITH TRANSFERS")</f>
        <v/>
      </c>
      <c r="F40"/>
      <c r="G40"/>
      <c r="H40"/>
      <c r="I40"/>
      <c r="J40"/>
      <c r="K40"/>
      <c r="L40"/>
      <c r="M40"/>
    </row>
    <row r="41" spans="1:14">
      <c r="B41" s="107" t="s">
        <v>77</v>
      </c>
      <c r="E41" s="23"/>
      <c r="F41"/>
      <c r="G41"/>
      <c r="H41"/>
      <c r="I41"/>
      <c r="J41"/>
      <c r="K41"/>
      <c r="L41"/>
      <c r="M41"/>
    </row>
    <row r="42" spans="1:14">
      <c r="E42" s="17"/>
      <c r="F42"/>
      <c r="G42"/>
      <c r="H42"/>
      <c r="I42"/>
      <c r="J42"/>
      <c r="K42"/>
      <c r="L42"/>
      <c r="M42"/>
    </row>
    <row r="43" spans="1:14">
      <c r="E43" s="17"/>
      <c r="F43"/>
      <c r="G43"/>
      <c r="H43"/>
      <c r="I43"/>
      <c r="J43"/>
      <c r="K43"/>
      <c r="L43"/>
      <c r="M43"/>
    </row>
    <row r="44" spans="1:14">
      <c r="H44" s="17"/>
      <c r="J44" s="17"/>
    </row>
    <row r="45" spans="1:14">
      <c r="H45" s="17"/>
      <c r="J45" s="17"/>
    </row>
    <row r="46" spans="1:14">
      <c r="H46" s="17"/>
      <c r="J46" s="17"/>
    </row>
    <row r="50" spans="4:10">
      <c r="H50" s="17"/>
      <c r="J50" s="17"/>
    </row>
    <row r="51" spans="4:10">
      <c r="H51" s="17"/>
      <c r="J51" s="17"/>
    </row>
    <row r="52" spans="4:10">
      <c r="H52" s="17"/>
      <c r="J52" s="17"/>
    </row>
    <row r="53" spans="4:10">
      <c r="H53" s="17"/>
      <c r="J53" s="17"/>
    </row>
    <row r="54" spans="4:10">
      <c r="E54" s="17"/>
      <c r="G54" s="17"/>
      <c r="H54" s="17"/>
      <c r="J54" s="17"/>
    </row>
    <row r="55" spans="4:10">
      <c r="E55" s="17"/>
      <c r="G55" s="17"/>
      <c r="H55" s="17"/>
      <c r="J55" s="17"/>
    </row>
    <row r="56" spans="4:10">
      <c r="E56" s="17"/>
      <c r="G56" s="17"/>
      <c r="H56" s="17"/>
      <c r="J56" s="17"/>
    </row>
    <row r="57" spans="4:10">
      <c r="E57" s="17"/>
      <c r="G57" s="17"/>
      <c r="H57" s="17"/>
      <c r="J57" s="17"/>
    </row>
    <row r="58" spans="4:10">
      <c r="D58" s="17"/>
      <c r="F58" s="17"/>
      <c r="H58" s="17"/>
      <c r="J58" s="17"/>
    </row>
    <row r="59" spans="4:10">
      <c r="H59" s="17"/>
      <c r="J59" s="17"/>
    </row>
    <row r="60" spans="4:10">
      <c r="H60" s="17"/>
      <c r="J60" s="17"/>
    </row>
    <row r="61" spans="4:10">
      <c r="H61" s="17"/>
      <c r="J61" s="17"/>
    </row>
    <row r="62" spans="4:10">
      <c r="H62" s="17"/>
      <c r="J62" s="17"/>
    </row>
    <row r="63" spans="4:10">
      <c r="H63" s="17"/>
      <c r="J63" s="17"/>
    </row>
    <row r="64" spans="4:10">
      <c r="E64" s="17"/>
      <c r="G64" s="17"/>
      <c r="H64" s="17"/>
      <c r="J64" s="17"/>
    </row>
    <row r="65" spans="5:10">
      <c r="E65" s="17"/>
      <c r="G65" s="17"/>
      <c r="H65" s="17"/>
      <c r="J65" s="17"/>
    </row>
    <row r="66" spans="5:10">
      <c r="E66" s="17"/>
      <c r="G66" s="17"/>
      <c r="H66" s="17"/>
      <c r="J66" s="17"/>
    </row>
    <row r="67" spans="5:10">
      <c r="E67" s="17"/>
      <c r="G67" s="17"/>
      <c r="H67" s="17"/>
      <c r="J67" s="17"/>
    </row>
    <row r="68" spans="5:10">
      <c r="E68" s="17"/>
      <c r="G68" s="17"/>
      <c r="H68" s="17"/>
      <c r="J68" s="17"/>
    </row>
    <row r="69" spans="5:10">
      <c r="E69" s="17"/>
      <c r="G69" s="17"/>
      <c r="H69" s="17"/>
      <c r="J69" s="17"/>
    </row>
    <row r="70" spans="5:10">
      <c r="E70" s="17"/>
      <c r="G70" s="17"/>
      <c r="H70" s="17"/>
      <c r="J70" s="17"/>
    </row>
    <row r="71" spans="5:10">
      <c r="E71" s="17"/>
      <c r="G71" s="17"/>
      <c r="H71" s="17"/>
      <c r="J71" s="17"/>
    </row>
    <row r="72" spans="5:10">
      <c r="E72" s="17"/>
      <c r="G72" s="17"/>
      <c r="H72" s="17"/>
      <c r="J72" s="17"/>
    </row>
    <row r="73" spans="5:10">
      <c r="E73" s="17"/>
      <c r="G73" s="17"/>
      <c r="H73" s="17"/>
      <c r="J73" s="17"/>
    </row>
    <row r="74" spans="5:10">
      <c r="E74" s="17"/>
      <c r="G74" s="17"/>
      <c r="H74" s="17"/>
      <c r="J74" s="17"/>
    </row>
    <row r="75" spans="5:10">
      <c r="E75" s="17"/>
      <c r="G75" s="17"/>
      <c r="H75" s="17"/>
      <c r="J75" s="17"/>
    </row>
    <row r="76" spans="5:10">
      <c r="E76" s="17"/>
      <c r="G76" s="17"/>
      <c r="H76" s="17"/>
      <c r="J76" s="17"/>
    </row>
    <row r="77" spans="5:10">
      <c r="E77" s="17"/>
      <c r="G77" s="17"/>
      <c r="H77" s="17"/>
      <c r="J77" s="17"/>
    </row>
    <row r="78" spans="5:10">
      <c r="E78" s="17"/>
      <c r="G78" s="17"/>
      <c r="H78" s="17"/>
      <c r="J78" s="17"/>
    </row>
    <row r="79" spans="5:10">
      <c r="E79" s="17"/>
      <c r="G79" s="17"/>
      <c r="H79" s="17"/>
      <c r="J79" s="17"/>
    </row>
    <row r="80" spans="5:10">
      <c r="E80" s="17"/>
      <c r="G80" s="17"/>
      <c r="H80" s="17"/>
      <c r="J80" s="17"/>
    </row>
    <row r="81" spans="5:10">
      <c r="E81" s="17"/>
      <c r="G81" s="17"/>
      <c r="H81" s="17"/>
      <c r="J81" s="17"/>
    </row>
    <row r="82" spans="5:10">
      <c r="E82" s="17"/>
      <c r="G82" s="17"/>
      <c r="H82" s="17"/>
      <c r="J82" s="17"/>
    </row>
    <row r="83" spans="5:10">
      <c r="E83" s="17"/>
      <c r="G83" s="17"/>
      <c r="H83" s="17"/>
      <c r="J83" s="17"/>
    </row>
    <row r="84" spans="5:10">
      <c r="E84" s="17"/>
      <c r="G84" s="17"/>
      <c r="H84" s="17"/>
      <c r="J84" s="17"/>
    </row>
    <row r="85" spans="5:10">
      <c r="E85" s="17"/>
      <c r="G85" s="17"/>
      <c r="H85" s="17"/>
      <c r="J85" s="17"/>
    </row>
    <row r="86" spans="5:10">
      <c r="E86" s="17"/>
      <c r="G86" s="17"/>
      <c r="H86" s="17"/>
      <c r="J86" s="17"/>
    </row>
    <row r="87" spans="5:10">
      <c r="E87" s="17"/>
      <c r="G87" s="17"/>
      <c r="H87" s="17"/>
      <c r="J87" s="17"/>
    </row>
    <row r="88" spans="5:10">
      <c r="E88" s="17"/>
      <c r="G88" s="17"/>
      <c r="H88" s="17"/>
      <c r="J88" s="17"/>
    </row>
    <row r="89" spans="5:10">
      <c r="E89" s="17"/>
      <c r="G89" s="17"/>
      <c r="H89" s="17"/>
      <c r="J89" s="17"/>
    </row>
    <row r="90" spans="5:10">
      <c r="H90" s="17"/>
      <c r="J90" s="17"/>
    </row>
    <row r="91" spans="5:10">
      <c r="E91" s="17"/>
      <c r="G91" s="17"/>
      <c r="H91" s="17"/>
      <c r="J91" s="17"/>
    </row>
    <row r="92" spans="5:10">
      <c r="E92" s="17"/>
      <c r="G92" s="17"/>
      <c r="H92" s="17"/>
      <c r="J92" s="17"/>
    </row>
    <row r="93" spans="5:10">
      <c r="E93" s="17"/>
      <c r="G93" s="17"/>
      <c r="H93" s="17"/>
      <c r="J93" s="17"/>
    </row>
    <row r="94" spans="5:10">
      <c r="E94" s="17"/>
      <c r="G94" s="17"/>
      <c r="H94" s="17"/>
      <c r="J94" s="17"/>
    </row>
    <row r="95" spans="5:10">
      <c r="E95" s="17"/>
      <c r="G95" s="17"/>
      <c r="H95" s="17"/>
      <c r="J95" s="17"/>
    </row>
    <row r="96" spans="5:10">
      <c r="E96" s="17"/>
      <c r="G96" s="17"/>
      <c r="H96" s="17"/>
      <c r="J96" s="17"/>
    </row>
    <row r="97" spans="5:10">
      <c r="H97" s="17"/>
      <c r="J97" s="17"/>
    </row>
    <row r="98" spans="5:10">
      <c r="H98" s="17"/>
      <c r="J98" s="17"/>
    </row>
    <row r="99" spans="5:10">
      <c r="H99" s="17"/>
      <c r="J99" s="17"/>
    </row>
    <row r="100" spans="5:10">
      <c r="H100" s="17"/>
      <c r="J100" s="17"/>
    </row>
    <row r="101" spans="5:10">
      <c r="H101" s="17"/>
      <c r="J101" s="17"/>
    </row>
    <row r="102" spans="5:10">
      <c r="H102" s="17"/>
      <c r="J102" s="17"/>
    </row>
    <row r="103" spans="5:10">
      <c r="H103" s="17"/>
      <c r="J103" s="17"/>
    </row>
    <row r="104" spans="5:10">
      <c r="E104" s="17"/>
      <c r="G104" s="17"/>
      <c r="H104" s="17"/>
      <c r="J104" s="17"/>
    </row>
    <row r="105" spans="5:10">
      <c r="H105" s="17"/>
      <c r="J105" s="17"/>
    </row>
    <row r="106" spans="5:10">
      <c r="H106" s="17"/>
      <c r="J106" s="17"/>
    </row>
    <row r="111" spans="5:10">
      <c r="E111" s="17"/>
      <c r="G111" s="17"/>
      <c r="H111" s="17"/>
      <c r="J111" s="17"/>
    </row>
    <row r="112" spans="5:10">
      <c r="E112" s="17"/>
      <c r="G112" s="17"/>
      <c r="H112" s="17"/>
      <c r="J112" s="17"/>
    </row>
    <row r="113" spans="5:10">
      <c r="E113" s="17"/>
      <c r="G113" s="17"/>
    </row>
    <row r="114" spans="5:10">
      <c r="H114" s="17"/>
      <c r="J114" s="17"/>
    </row>
    <row r="119" spans="5:10">
      <c r="H119" s="17"/>
      <c r="J119" s="17"/>
    </row>
    <row r="127" spans="5:10">
      <c r="H127" s="17"/>
      <c r="J127" s="17"/>
    </row>
    <row r="129" spans="5:10">
      <c r="H129" s="17"/>
      <c r="J129" s="17"/>
    </row>
    <row r="130" spans="5:10">
      <c r="H130" s="17"/>
      <c r="J130" s="17"/>
    </row>
    <row r="131" spans="5:10">
      <c r="H131" s="17"/>
      <c r="J131" s="17"/>
    </row>
    <row r="132" spans="5:10">
      <c r="H132" s="17"/>
      <c r="J132" s="17"/>
    </row>
    <row r="133" spans="5:10">
      <c r="H133" s="17"/>
      <c r="J133" s="17"/>
    </row>
    <row r="134" spans="5:10">
      <c r="E134" s="17"/>
      <c r="G134" s="17"/>
      <c r="H134" s="17"/>
      <c r="J134" s="17"/>
    </row>
    <row r="135" spans="5:10">
      <c r="E135" s="17"/>
      <c r="G135" s="17"/>
      <c r="H135" s="17"/>
      <c r="J135" s="17"/>
    </row>
    <row r="136" spans="5:10">
      <c r="E136" s="17"/>
      <c r="G136" s="17"/>
      <c r="H136" s="17"/>
      <c r="J136" s="17"/>
    </row>
    <row r="137" spans="5:10">
      <c r="E137" s="17"/>
      <c r="G137" s="17"/>
      <c r="H137" s="17"/>
      <c r="J137" s="17"/>
    </row>
    <row r="138" spans="5:10">
      <c r="H138" s="17"/>
      <c r="J138" s="17"/>
    </row>
    <row r="139" spans="5:10">
      <c r="H139" s="17"/>
      <c r="J139" s="17"/>
    </row>
    <row r="140" spans="5:10">
      <c r="H140" s="17"/>
      <c r="J140" s="17"/>
    </row>
    <row r="141" spans="5:10">
      <c r="H141" s="17"/>
      <c r="J141" s="17"/>
    </row>
    <row r="142" spans="5:10">
      <c r="H142" s="17"/>
      <c r="J142" s="17"/>
    </row>
    <row r="143" spans="5:10">
      <c r="H143" s="17"/>
      <c r="J143" s="17"/>
    </row>
    <row r="144" spans="5:10">
      <c r="H144" s="17"/>
      <c r="J144" s="17"/>
    </row>
    <row r="145" spans="8:10">
      <c r="H145" s="17"/>
      <c r="J145" s="17"/>
    </row>
    <row r="149" spans="8:10">
      <c r="H149" s="17"/>
      <c r="J149" s="17"/>
    </row>
    <row r="151" spans="8:10">
      <c r="H151" s="17"/>
      <c r="J151" s="17"/>
    </row>
    <row r="155" spans="8:10">
      <c r="H155" s="17"/>
      <c r="J155" s="17"/>
    </row>
    <row r="163" spans="8:10">
      <c r="H163" s="17"/>
      <c r="J163" s="17"/>
    </row>
    <row r="164" spans="8:10">
      <c r="H164" s="17"/>
      <c r="J164" s="17"/>
    </row>
    <row r="167" spans="8:10">
      <c r="H167" s="17"/>
      <c r="J167" s="17"/>
    </row>
    <row r="173" spans="8:10">
      <c r="H173" s="17"/>
      <c r="J173" s="17"/>
    </row>
    <row r="174" spans="8:10">
      <c r="H174" s="17"/>
      <c r="J174" s="17"/>
    </row>
    <row r="175" spans="8:10">
      <c r="H175" s="17"/>
      <c r="J175" s="17"/>
    </row>
    <row r="189" spans="8:10">
      <c r="H189" s="17"/>
      <c r="J189" s="17"/>
    </row>
    <row r="204" spans="8:10">
      <c r="H204" s="17"/>
      <c r="J204" s="17"/>
    </row>
    <row r="230" spans="8:10">
      <c r="H230" s="17"/>
      <c r="J230" s="17"/>
    </row>
  </sheetData>
  <mergeCells count="7">
    <mergeCell ref="A1:L1"/>
    <mergeCell ref="B23:K23"/>
    <mergeCell ref="A3:K3"/>
    <mergeCell ref="A2:L2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B7" sqref="B7"/>
    </sheetView>
  </sheetViews>
  <sheetFormatPr defaultColWidth="8.7109375" defaultRowHeight="15"/>
  <cols>
    <col min="1" max="1" width="8.7109375" style="1"/>
    <col min="2" max="2" width="14.5703125" style="1" customWidth="1"/>
    <col min="3" max="3" width="9.42578125" style="1" bestFit="1" customWidth="1"/>
    <col min="4" max="4" width="8.7109375" style="1"/>
    <col min="5" max="5" width="16" style="1" customWidth="1"/>
    <col min="6" max="16384" width="8.7109375" style="1"/>
  </cols>
  <sheetData>
    <row r="3" spans="1:5" ht="15.75">
      <c r="A3" s="42" t="s">
        <v>13</v>
      </c>
      <c r="B3" s="45">
        <v>2021</v>
      </c>
    </row>
    <row r="4" spans="1:5" ht="15.75">
      <c r="A4" s="42"/>
      <c r="B4" s="45"/>
    </row>
    <row r="5" spans="1:5" ht="15.75">
      <c r="A5" s="42" t="s">
        <v>41</v>
      </c>
    </row>
    <row r="6" spans="1:5" ht="15.75">
      <c r="A6" s="42" t="s">
        <v>86</v>
      </c>
      <c r="B6" s="45">
        <v>3</v>
      </c>
      <c r="C6" s="1" t="str">
        <f>VLOOKUP(CurrQtr,LKQtr,2)&amp;" - "&amp;VLOOKUP(CurrQtr,LKQtr,4)</f>
        <v>July - September</v>
      </c>
    </row>
    <row r="8" spans="1:5">
      <c r="A8" s="1" t="s">
        <v>84</v>
      </c>
      <c r="E8" s="121">
        <v>0.15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9"/>
  <sheetViews>
    <sheetView showGridLines="0" tabSelected="1" zoomScale="80" zoomScaleNormal="80" workbookViewId="0">
      <selection activeCell="A3" sqref="A3"/>
    </sheetView>
  </sheetViews>
  <sheetFormatPr defaultColWidth="8.7109375" defaultRowHeight="1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9" customWidth="1"/>
    <col min="5" max="5" width="32.85546875" style="89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1.5703125" style="73" customWidth="1"/>
    <col min="11" max="11" width="9.140625" style="2" bestFit="1" customWidth="1"/>
    <col min="12" max="16384" width="8.7109375" style="2"/>
  </cols>
  <sheetData>
    <row r="1" spans="1:12" s="18" customFormat="1" ht="20.25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  <c r="K1" s="133"/>
      <c r="L1" s="133"/>
    </row>
    <row r="2" spans="1:12" s="18" customFormat="1" ht="20.25">
      <c r="A2" s="169" t="s">
        <v>79</v>
      </c>
      <c r="B2" s="169"/>
      <c r="C2" s="169"/>
      <c r="D2" s="169"/>
      <c r="E2" s="169"/>
      <c r="F2" s="169"/>
      <c r="G2" s="169"/>
      <c r="H2" s="169"/>
      <c r="I2" s="169"/>
      <c r="J2" s="169"/>
      <c r="K2" s="133"/>
      <c r="L2" s="133"/>
    </row>
    <row r="3" spans="1:12" ht="23.25">
      <c r="B3" s="172" t="str">
        <f>+'Top Level'!B3&amp;" Detail of Transactions"</f>
        <v>2021 Detail of Transactions</v>
      </c>
      <c r="C3" s="172"/>
      <c r="D3" s="172"/>
      <c r="E3" s="172"/>
      <c r="F3" s="172"/>
      <c r="G3" s="172"/>
      <c r="H3" s="172"/>
      <c r="I3" s="172"/>
      <c r="J3" s="172"/>
    </row>
    <row r="4" spans="1:12" ht="11.45" customHeight="1">
      <c r="B4" s="173"/>
      <c r="C4" s="173"/>
      <c r="D4" s="173"/>
      <c r="E4" s="173"/>
      <c r="F4" s="173"/>
      <c r="G4" s="173"/>
      <c r="H4" s="173"/>
      <c r="I4" s="173"/>
      <c r="J4" s="173"/>
    </row>
    <row r="5" spans="1:12" ht="22.5" customHeight="1">
      <c r="B5" s="175" t="s">
        <v>17</v>
      </c>
      <c r="C5" s="175" t="s">
        <v>65</v>
      </c>
      <c r="D5" s="175" t="s">
        <v>62</v>
      </c>
      <c r="E5" s="175" t="s">
        <v>63</v>
      </c>
      <c r="F5" s="175" t="s">
        <v>14</v>
      </c>
      <c r="G5" s="175" t="s">
        <v>15</v>
      </c>
      <c r="H5" s="174" t="s">
        <v>66</v>
      </c>
      <c r="I5" s="174"/>
      <c r="J5" s="52"/>
    </row>
    <row r="6" spans="1:12" ht="29.1" customHeight="1">
      <c r="B6" s="176"/>
      <c r="C6" s="176"/>
      <c r="D6" s="176"/>
      <c r="E6" s="176"/>
      <c r="F6" s="176"/>
      <c r="G6" s="176"/>
      <c r="H6" s="70" t="s">
        <v>5</v>
      </c>
      <c r="I6" s="70" t="s">
        <v>7</v>
      </c>
      <c r="J6" s="74" t="s">
        <v>2</v>
      </c>
    </row>
    <row r="7" spans="1:12" s="153" customFormat="1">
      <c r="B7" s="154" t="s">
        <v>18</v>
      </c>
      <c r="C7" s="155"/>
      <c r="D7" s="156">
        <v>1000</v>
      </c>
      <c r="E7" s="157" t="str">
        <f t="shared" ref="E7:E31" si="0">IF($D7="","",VLOOKUP($D7,Chart,2,0))</f>
        <v>Fidelity Investments</v>
      </c>
      <c r="F7" s="158">
        <v>4020</v>
      </c>
      <c r="G7" s="157" t="str">
        <f t="shared" ref="G7:G31" si="1">IF($F7="","",VLOOKUP($F7,Chart,2,0))</f>
        <v>Change in Investment Value</v>
      </c>
      <c r="H7" s="159">
        <v>0.02</v>
      </c>
      <c r="I7" s="159"/>
      <c r="J7" s="160" t="s">
        <v>145</v>
      </c>
    </row>
    <row r="8" spans="1:12" s="153" customFormat="1">
      <c r="B8" s="154" t="s">
        <v>19</v>
      </c>
      <c r="C8" s="155"/>
      <c r="D8" s="158">
        <v>1000</v>
      </c>
      <c r="E8" s="157" t="str">
        <f t="shared" si="0"/>
        <v>Fidelity Investments</v>
      </c>
      <c r="F8" s="158">
        <v>4000</v>
      </c>
      <c r="G8" s="157" t="str">
        <f t="shared" si="1"/>
        <v>Contributions (Principal Increase)</v>
      </c>
      <c r="H8" s="159">
        <v>35</v>
      </c>
      <c r="I8" s="159"/>
      <c r="J8" s="160" t="s">
        <v>155</v>
      </c>
    </row>
    <row r="9" spans="1:12" s="153" customFormat="1">
      <c r="B9" s="154" t="s">
        <v>19</v>
      </c>
      <c r="C9" s="155"/>
      <c r="D9" s="158">
        <v>1000</v>
      </c>
      <c r="E9" s="157" t="str">
        <f t="shared" si="0"/>
        <v>Fidelity Investments</v>
      </c>
      <c r="F9" s="158">
        <v>4020</v>
      </c>
      <c r="G9" s="157" t="str">
        <f t="shared" si="1"/>
        <v>Change in Investment Value</v>
      </c>
      <c r="H9" s="159">
        <v>2932.23</v>
      </c>
      <c r="I9" s="159"/>
      <c r="J9" s="160" t="s">
        <v>145</v>
      </c>
    </row>
    <row r="10" spans="1:12" s="153" customFormat="1">
      <c r="B10" s="154" t="s">
        <v>20</v>
      </c>
      <c r="C10" s="155"/>
      <c r="D10" s="158">
        <v>1000</v>
      </c>
      <c r="E10" s="157" t="str">
        <f t="shared" si="0"/>
        <v>Fidelity Investments</v>
      </c>
      <c r="F10" s="158">
        <v>4020</v>
      </c>
      <c r="G10" s="157" t="str">
        <f t="shared" si="1"/>
        <v>Change in Investment Value</v>
      </c>
      <c r="H10" s="159">
        <v>1691.67</v>
      </c>
      <c r="I10" s="159"/>
      <c r="J10" s="160" t="s">
        <v>145</v>
      </c>
    </row>
    <row r="11" spans="1:12" s="153" customFormat="1">
      <c r="B11" s="154" t="s">
        <v>21</v>
      </c>
      <c r="C11" s="155"/>
      <c r="D11" s="158">
        <v>1000</v>
      </c>
      <c r="E11" s="157" t="str">
        <f t="shared" si="0"/>
        <v>Fidelity Investments</v>
      </c>
      <c r="F11" s="158">
        <v>4020</v>
      </c>
      <c r="G11" s="157" t="str">
        <f t="shared" si="1"/>
        <v>Change in Investment Value</v>
      </c>
      <c r="H11" s="159">
        <v>4962.22</v>
      </c>
      <c r="I11" s="159"/>
      <c r="J11" s="160" t="s">
        <v>145</v>
      </c>
    </row>
    <row r="12" spans="1:12" s="153" customFormat="1">
      <c r="B12" s="154" t="s">
        <v>21</v>
      </c>
      <c r="C12" s="155"/>
      <c r="D12" s="158">
        <v>1020</v>
      </c>
      <c r="E12" s="157" t="str">
        <f t="shared" si="0"/>
        <v>Racine Community Foundation</v>
      </c>
      <c r="F12" s="158">
        <v>4020</v>
      </c>
      <c r="G12" s="157" t="str">
        <f t="shared" si="1"/>
        <v>Change in Investment Value</v>
      </c>
      <c r="H12" s="159">
        <f>29298.06-25958.11</f>
        <v>3339.9500000000007</v>
      </c>
      <c r="I12" s="159"/>
      <c r="J12" s="160" t="s">
        <v>145</v>
      </c>
    </row>
    <row r="13" spans="1:12" s="153" customFormat="1">
      <c r="B13" s="154" t="s">
        <v>22</v>
      </c>
      <c r="C13" s="155"/>
      <c r="D13" s="158">
        <v>1000</v>
      </c>
      <c r="E13" s="157" t="str">
        <f t="shared" si="0"/>
        <v>Fidelity Investments</v>
      </c>
      <c r="F13" s="158">
        <v>4020</v>
      </c>
      <c r="G13" s="157" t="str">
        <f t="shared" si="1"/>
        <v>Change in Investment Value</v>
      </c>
      <c r="H13" s="159">
        <v>2647.16</v>
      </c>
      <c r="I13" s="159"/>
      <c r="J13" s="160" t="s">
        <v>145</v>
      </c>
    </row>
    <row r="14" spans="1:12" s="153" customFormat="1">
      <c r="B14" s="154" t="s">
        <v>23</v>
      </c>
      <c r="C14" s="155"/>
      <c r="D14" s="158">
        <v>1000</v>
      </c>
      <c r="E14" s="157" t="str">
        <f t="shared" si="0"/>
        <v>Fidelity Investments</v>
      </c>
      <c r="F14" s="158">
        <v>4000</v>
      </c>
      <c r="G14" s="157" t="str">
        <f t="shared" si="1"/>
        <v>Contributions (Principal Increase)</v>
      </c>
      <c r="H14" s="159">
        <v>50</v>
      </c>
      <c r="I14" s="159"/>
      <c r="J14" s="160" t="s">
        <v>156</v>
      </c>
    </row>
    <row r="15" spans="1:12" s="153" customFormat="1">
      <c r="B15" s="154" t="s">
        <v>23</v>
      </c>
      <c r="C15" s="155"/>
      <c r="D15" s="158">
        <v>1000</v>
      </c>
      <c r="E15" s="157" t="str">
        <f t="shared" si="0"/>
        <v>Fidelity Investments</v>
      </c>
      <c r="F15" s="158">
        <v>4020</v>
      </c>
      <c r="G15" s="157" t="str">
        <f t="shared" si="1"/>
        <v>Change in Investment Value</v>
      </c>
      <c r="H15" s="159">
        <v>1522.72</v>
      </c>
      <c r="I15" s="159"/>
      <c r="J15" s="160" t="s">
        <v>145</v>
      </c>
    </row>
    <row r="16" spans="1:12" s="153" customFormat="1">
      <c r="B16" s="154" t="s">
        <v>24</v>
      </c>
      <c r="C16" s="155"/>
      <c r="D16" s="158">
        <v>1000</v>
      </c>
      <c r="E16" s="157" t="str">
        <f t="shared" si="0"/>
        <v>Fidelity Investments</v>
      </c>
      <c r="F16" s="158">
        <v>4020</v>
      </c>
      <c r="G16" s="157" t="str">
        <f t="shared" si="1"/>
        <v>Change in Investment Value</v>
      </c>
      <c r="H16" s="159">
        <v>468.53</v>
      </c>
      <c r="I16" s="159"/>
      <c r="J16" s="160" t="s">
        <v>165</v>
      </c>
    </row>
    <row r="17" spans="2:10" s="153" customFormat="1">
      <c r="B17" s="154" t="s">
        <v>25</v>
      </c>
      <c r="C17" s="155"/>
      <c r="D17" s="158">
        <v>1000</v>
      </c>
      <c r="E17" s="157" t="str">
        <f t="shared" si="0"/>
        <v>Fidelity Investments</v>
      </c>
      <c r="F17" s="158">
        <v>4000</v>
      </c>
      <c r="G17" s="157" t="str">
        <f t="shared" si="1"/>
        <v>Contributions (Principal Increase)</v>
      </c>
      <c r="H17" s="159">
        <v>50</v>
      </c>
      <c r="I17" s="159"/>
      <c r="J17" s="160" t="s">
        <v>160</v>
      </c>
    </row>
    <row r="18" spans="2:10" s="153" customFormat="1">
      <c r="B18" s="154" t="s">
        <v>25</v>
      </c>
      <c r="C18" s="155"/>
      <c r="D18" s="158">
        <v>1000</v>
      </c>
      <c r="E18" s="157" t="str">
        <f t="shared" si="0"/>
        <v>Fidelity Investments</v>
      </c>
      <c r="F18" s="158">
        <v>4020</v>
      </c>
      <c r="G18" s="157" t="str">
        <f t="shared" si="1"/>
        <v>Change in Investment Value</v>
      </c>
      <c r="H18" s="159">
        <v>2461.17</v>
      </c>
      <c r="I18" s="159"/>
      <c r="J18" s="160" t="s">
        <v>164</v>
      </c>
    </row>
    <row r="19" spans="2:10" s="153" customFormat="1">
      <c r="B19" s="154" t="s">
        <v>25</v>
      </c>
      <c r="C19" s="155"/>
      <c r="D19" s="158">
        <v>1000</v>
      </c>
      <c r="E19" s="157" t="str">
        <f t="shared" si="0"/>
        <v>Fidelity Investments</v>
      </c>
      <c r="F19" s="158">
        <v>5020</v>
      </c>
      <c r="G19" s="157" t="str">
        <f t="shared" si="1"/>
        <v>Transfer Funds</v>
      </c>
      <c r="H19" s="159">
        <v>561.25</v>
      </c>
      <c r="I19" s="159"/>
      <c r="J19" s="160" t="s">
        <v>161</v>
      </c>
    </row>
    <row r="20" spans="2:10" s="153" customFormat="1">
      <c r="B20" s="154" t="s">
        <v>25</v>
      </c>
      <c r="C20" s="155"/>
      <c r="D20" s="158">
        <v>1010</v>
      </c>
      <c r="E20" s="157" t="str">
        <f t="shared" si="0"/>
        <v>Johnson Bank - Checking</v>
      </c>
      <c r="F20" s="158">
        <v>5020</v>
      </c>
      <c r="G20" s="157" t="str">
        <f t="shared" si="1"/>
        <v>Transfer Funds</v>
      </c>
      <c r="H20" s="159">
        <v>-561</v>
      </c>
      <c r="I20" s="159"/>
      <c r="J20" s="160" t="s">
        <v>163</v>
      </c>
    </row>
    <row r="21" spans="2:10" s="153" customFormat="1">
      <c r="B21" s="154" t="s">
        <v>26</v>
      </c>
      <c r="C21" s="155"/>
      <c r="D21" s="158">
        <v>1000</v>
      </c>
      <c r="E21" s="157" t="str">
        <f t="shared" si="0"/>
        <v>Fidelity Investments</v>
      </c>
      <c r="F21" s="158">
        <v>4000</v>
      </c>
      <c r="G21" s="157" t="str">
        <f t="shared" si="1"/>
        <v>Contributions (Principal Increase)</v>
      </c>
      <c r="H21" s="159">
        <v>50</v>
      </c>
      <c r="I21" s="159"/>
      <c r="J21" s="160" t="s">
        <v>157</v>
      </c>
    </row>
    <row r="22" spans="2:10" s="153" customFormat="1">
      <c r="B22" s="154" t="s">
        <v>26</v>
      </c>
      <c r="C22" s="155"/>
      <c r="D22" s="158">
        <v>1000</v>
      </c>
      <c r="E22" s="157" t="str">
        <f t="shared" si="0"/>
        <v>Fidelity Investments</v>
      </c>
      <c r="F22" s="158">
        <v>4000</v>
      </c>
      <c r="G22" s="157" t="str">
        <f t="shared" si="1"/>
        <v>Contributions (Principal Increase)</v>
      </c>
      <c r="H22" s="159">
        <v>25</v>
      </c>
      <c r="I22" s="159"/>
      <c r="J22" s="160" t="s">
        <v>158</v>
      </c>
    </row>
    <row r="23" spans="2:10" s="153" customFormat="1">
      <c r="B23" s="154" t="s">
        <v>26</v>
      </c>
      <c r="C23" s="155"/>
      <c r="D23" s="158">
        <v>1000</v>
      </c>
      <c r="E23" s="157" t="str">
        <f t="shared" si="0"/>
        <v>Fidelity Investments</v>
      </c>
      <c r="F23" s="158">
        <v>4000</v>
      </c>
      <c r="G23" s="157" t="str">
        <f t="shared" si="1"/>
        <v>Contributions (Principal Increase)</v>
      </c>
      <c r="H23" s="159">
        <v>50</v>
      </c>
      <c r="I23" s="159"/>
      <c r="J23" s="160" t="s">
        <v>159</v>
      </c>
    </row>
    <row r="24" spans="2:10" s="153" customFormat="1">
      <c r="B24" s="154" t="s">
        <v>26</v>
      </c>
      <c r="C24" s="155"/>
      <c r="D24" s="158">
        <v>1000</v>
      </c>
      <c r="E24" s="157" t="str">
        <f t="shared" si="0"/>
        <v>Fidelity Investments</v>
      </c>
      <c r="F24" s="158">
        <v>4020</v>
      </c>
      <c r="G24" s="157" t="str">
        <f t="shared" si="1"/>
        <v>Change in Investment Value</v>
      </c>
      <c r="H24" s="159">
        <v>-4468.4399999999996</v>
      </c>
      <c r="I24" s="159"/>
      <c r="J24" s="160" t="s">
        <v>162</v>
      </c>
    </row>
    <row r="25" spans="2:10" s="153" customFormat="1">
      <c r="B25" s="154" t="s">
        <v>27</v>
      </c>
      <c r="C25" s="155"/>
      <c r="D25" s="158">
        <v>1000</v>
      </c>
      <c r="E25" s="157" t="str">
        <f t="shared" si="0"/>
        <v>Fidelity Investments</v>
      </c>
      <c r="F25" s="158">
        <v>4000</v>
      </c>
      <c r="G25" s="157" t="str">
        <f t="shared" si="1"/>
        <v>Contributions (Principal Increase)</v>
      </c>
      <c r="H25" s="159">
        <v>50</v>
      </c>
      <c r="I25" s="159"/>
      <c r="J25" s="160" t="s">
        <v>167</v>
      </c>
    </row>
    <row r="26" spans="2:10" s="153" customFormat="1">
      <c r="B26" s="154" t="s">
        <v>27</v>
      </c>
      <c r="C26" s="155"/>
      <c r="D26" s="158">
        <v>1000</v>
      </c>
      <c r="E26" s="157" t="str">
        <f t="shared" si="0"/>
        <v>Fidelity Investments</v>
      </c>
      <c r="F26" s="158">
        <v>4020</v>
      </c>
      <c r="G26" s="157" t="str">
        <f t="shared" si="1"/>
        <v>Change in Investment Value</v>
      </c>
      <c r="H26" s="159">
        <v>5173.9799999999996</v>
      </c>
      <c r="I26" s="159"/>
      <c r="J26" s="160" t="s">
        <v>145</v>
      </c>
    </row>
    <row r="27" spans="2:10" s="153" customFormat="1" ht="30">
      <c r="B27" s="154" t="s">
        <v>16</v>
      </c>
      <c r="C27" s="155"/>
      <c r="D27" s="158">
        <v>1000</v>
      </c>
      <c r="E27" s="157" t="str">
        <f t="shared" si="0"/>
        <v>Fidelity Investments</v>
      </c>
      <c r="F27" s="158">
        <v>4000</v>
      </c>
      <c r="G27" s="157" t="str">
        <f t="shared" si="1"/>
        <v>Contributions (Principal Increase)</v>
      </c>
      <c r="H27" s="159">
        <v>0</v>
      </c>
      <c r="I27" s="159"/>
      <c r="J27" s="168" t="s">
        <v>168</v>
      </c>
    </row>
    <row r="28" spans="2:10" s="153" customFormat="1">
      <c r="B28" s="154"/>
      <c r="C28" s="155"/>
      <c r="D28" s="158"/>
      <c r="E28" s="157" t="str">
        <f t="shared" si="0"/>
        <v/>
      </c>
      <c r="F28" s="158"/>
      <c r="G28" s="157" t="str">
        <f t="shared" si="1"/>
        <v/>
      </c>
      <c r="H28" s="159"/>
      <c r="I28" s="159"/>
      <c r="J28" s="160"/>
    </row>
    <row r="29" spans="2:10" s="153" customFormat="1">
      <c r="B29" s="154"/>
      <c r="C29" s="155"/>
      <c r="D29" s="158"/>
      <c r="E29" s="157" t="str">
        <f t="shared" si="0"/>
        <v/>
      </c>
      <c r="F29" s="158"/>
      <c r="G29" s="157" t="str">
        <f t="shared" si="1"/>
        <v/>
      </c>
      <c r="H29" s="159"/>
      <c r="I29" s="159"/>
      <c r="J29" s="160"/>
    </row>
    <row r="30" spans="2:10" s="153" customFormat="1">
      <c r="B30" s="154"/>
      <c r="C30" s="155"/>
      <c r="D30" s="158"/>
      <c r="E30" s="157" t="str">
        <f t="shared" si="0"/>
        <v/>
      </c>
      <c r="F30" s="158"/>
      <c r="G30" s="157" t="str">
        <f t="shared" si="1"/>
        <v/>
      </c>
      <c r="H30" s="159"/>
      <c r="I30" s="159"/>
      <c r="J30" s="160"/>
    </row>
    <row r="31" spans="2:10" s="153" customFormat="1">
      <c r="B31" s="154"/>
      <c r="C31" s="155" t="str">
        <f>IF(B31="","",VLOOKUP(B31,LKMonthName,2,0))</f>
        <v/>
      </c>
      <c r="D31" s="158"/>
      <c r="E31" s="157" t="str">
        <f t="shared" si="0"/>
        <v/>
      </c>
      <c r="F31" s="158"/>
      <c r="G31" s="157" t="str">
        <f t="shared" si="1"/>
        <v/>
      </c>
      <c r="H31" s="161"/>
      <c r="I31" s="161"/>
      <c r="J31" s="160"/>
    </row>
    <row r="32" spans="2:10" ht="6.6" customHeight="1">
      <c r="B32" s="46"/>
      <c r="C32" s="48"/>
      <c r="D32" s="48"/>
      <c r="E32" s="48"/>
      <c r="F32" s="49"/>
      <c r="G32" s="50"/>
      <c r="H32" s="51"/>
      <c r="I32" s="51"/>
      <c r="J32" s="71"/>
    </row>
    <row r="33" spans="2:10" ht="15.75">
      <c r="B33" s="4"/>
      <c r="C33" s="4"/>
      <c r="D33" s="4"/>
      <c r="E33" s="4"/>
      <c r="F33" s="4"/>
      <c r="G33" s="4"/>
      <c r="H33" s="11">
        <f>SUBTOTAL(9,H7:H32)</f>
        <v>21041.46</v>
      </c>
      <c r="I33" s="11">
        <f>SUBTOTAL(9,I7:I32)</f>
        <v>0</v>
      </c>
      <c r="J33" s="72"/>
    </row>
    <row r="35" spans="2:10">
      <c r="H35"/>
    </row>
    <row r="36" spans="2:10">
      <c r="H36"/>
    </row>
    <row r="37" spans="2:10">
      <c r="H37"/>
    </row>
    <row r="49" spans="9:9">
      <c r="I49" s="10"/>
    </row>
  </sheetData>
  <autoFilter ref="B6:J31"/>
  <sortState ref="B7:J30">
    <sortCondition ref="B7:B30" customList="January,February,March,April,May,June,July,August,September,October,November,December"/>
    <sortCondition ref="F7:F30"/>
  </sortState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2">
      <formula1>AcctNumber</formula1>
    </dataValidation>
    <dataValidation type="list" allowBlank="1" showInputMessage="1" showErrorMessage="1" sqref="B32">
      <formula1>MonthName</formula1>
    </dataValidation>
    <dataValidation type="list" allowBlank="1" showInputMessage="1" showErrorMessage="1" sqref="F7:F31">
      <formula1>Accounts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of Accounts'!$G$11:$G$22</xm:f>
          </x14:formula1>
          <xm:sqref>B7:B30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topLeftCell="A7" workbookViewId="0">
      <selection activeCell="E23" sqref="E23"/>
    </sheetView>
  </sheetViews>
  <sheetFormatPr defaultColWidth="8.7109375" defaultRowHeight="15"/>
  <cols>
    <col min="1" max="1" width="27.5703125" style="2" bestFit="1" customWidth="1"/>
    <col min="2" max="2" width="6.28515625" style="89" hidden="1" customWidth="1"/>
    <col min="3" max="3" width="14.28515625" style="1" customWidth="1"/>
    <col min="4" max="4" width="14.5703125" style="1" customWidth="1"/>
    <col min="5" max="5" width="16.5703125" style="1" customWidth="1"/>
    <col min="6" max="6" width="14.140625" style="1" customWidth="1"/>
    <col min="7" max="7" width="13.85546875" style="1" customWidth="1"/>
    <col min="8" max="8" width="16.5703125" style="1" customWidth="1"/>
    <col min="9" max="10" width="12.7109375" style="1" customWidth="1"/>
    <col min="11" max="11" width="16.5703125" style="1" customWidth="1"/>
    <col min="12" max="12" width="2.140625" style="1" customWidth="1"/>
    <col min="13" max="13" width="16.28515625" style="1" customWidth="1"/>
    <col min="14" max="14" width="13.85546875" style="1" customWidth="1"/>
    <col min="15" max="15" width="16.5703125" style="1" customWidth="1"/>
    <col min="16" max="16" width="13.28515625" style="1" bestFit="1" customWidth="1"/>
    <col min="17" max="17" width="14.42578125" style="1" bestFit="1" customWidth="1"/>
    <col min="18" max="18" width="10.140625" style="1" bestFit="1" customWidth="1"/>
    <col min="19" max="16384" width="8.7109375" style="1"/>
  </cols>
  <sheetData>
    <row r="1" spans="1:18" s="18" customFormat="1" ht="20.25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8" s="18" customFormat="1" ht="20.25">
      <c r="A2" s="169" t="s">
        <v>79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8" s="89" customFormat="1" ht="23.25">
      <c r="A3" s="172" t="str">
        <f>+'Top Level'!B3&amp;" Bank Accounts and Reconciliation"</f>
        <v>2021 Bank Accounts and Reconciliation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8" ht="16.5" thickBot="1">
      <c r="A4" s="184"/>
      <c r="B4" s="184"/>
      <c r="C4" s="184"/>
      <c r="D4" s="184"/>
      <c r="E4" s="184"/>
      <c r="F4" s="184"/>
      <c r="G4" s="184"/>
      <c r="H4" s="184"/>
      <c r="L4" s="17"/>
      <c r="M4" s="17"/>
      <c r="N4" s="17"/>
    </row>
    <row r="5" spans="1:18" ht="15.75" thickBot="1">
      <c r="A5" s="114" t="s">
        <v>14</v>
      </c>
      <c r="B5" s="115"/>
      <c r="C5" s="117">
        <v>1000</v>
      </c>
      <c r="D5" s="116"/>
      <c r="E5" s="116"/>
      <c r="F5" s="117">
        <v>1010</v>
      </c>
      <c r="G5" s="116"/>
      <c r="H5" s="116"/>
      <c r="I5" s="118">
        <v>1020</v>
      </c>
      <c r="L5" s="17"/>
      <c r="M5" s="119">
        <v>4000</v>
      </c>
      <c r="N5" s="118">
        <v>5050</v>
      </c>
    </row>
    <row r="6" spans="1:18" ht="16.5" thickBot="1">
      <c r="C6" s="187" t="str">
        <f>VLOOKUP(C$5,Chart,2)</f>
        <v>Fidelity Investments</v>
      </c>
      <c r="D6" s="188"/>
      <c r="E6" s="189"/>
      <c r="F6" s="187" t="str">
        <f>VLOOKUP(F$5,Chart,2)</f>
        <v>Johnson Bank - Checking</v>
      </c>
      <c r="G6" s="188"/>
      <c r="H6" s="189"/>
      <c r="I6" s="187" t="str">
        <f>VLOOKUP(I$5,Chart,2)</f>
        <v>Racine Community Foundation</v>
      </c>
      <c r="J6" s="180"/>
      <c r="K6" s="181"/>
      <c r="L6" s="62"/>
      <c r="M6" s="179" t="s">
        <v>80</v>
      </c>
      <c r="N6" s="180"/>
      <c r="O6" s="181"/>
    </row>
    <row r="7" spans="1:18" ht="15.75">
      <c r="A7" s="12" t="s">
        <v>1</v>
      </c>
      <c r="B7" s="104"/>
      <c r="C7" s="185" t="s">
        <v>8</v>
      </c>
      <c r="D7" s="182" t="s">
        <v>6</v>
      </c>
      <c r="E7" s="5" t="s">
        <v>3</v>
      </c>
      <c r="F7" s="185" t="s">
        <v>8</v>
      </c>
      <c r="G7" s="182" t="s">
        <v>6</v>
      </c>
      <c r="H7" s="5" t="s">
        <v>3</v>
      </c>
      <c r="I7" s="185" t="s">
        <v>8</v>
      </c>
      <c r="J7" s="182" t="s">
        <v>6</v>
      </c>
      <c r="K7" s="5" t="s">
        <v>3</v>
      </c>
      <c r="L7" s="190"/>
      <c r="M7" s="194" t="str">
        <f>LEFT(VLOOKUP(M5,Accounts,2),13)</f>
        <v>Contributions</v>
      </c>
      <c r="N7" s="182" t="str">
        <f>LEFT(VLOOKUP(N5,Accounts,2),10)</f>
        <v>Reductions</v>
      </c>
      <c r="O7" s="5" t="s">
        <v>3</v>
      </c>
    </row>
    <row r="8" spans="1:18" ht="14.45" customHeight="1">
      <c r="A8" s="102" t="s">
        <v>4</v>
      </c>
      <c r="B8" s="106">
        <v>0</v>
      </c>
      <c r="C8" s="186"/>
      <c r="D8" s="183"/>
      <c r="E8" s="6">
        <v>174290.24</v>
      </c>
      <c r="F8" s="186"/>
      <c r="G8" s="183"/>
      <c r="H8" s="6">
        <v>561.25</v>
      </c>
      <c r="I8" s="186"/>
      <c r="J8" s="183"/>
      <c r="K8" s="6">
        <v>25958.11</v>
      </c>
      <c r="L8" s="190"/>
      <c r="M8" s="195"/>
      <c r="N8" s="183"/>
      <c r="O8" s="6">
        <v>129283.65</v>
      </c>
      <c r="Q8" s="16"/>
      <c r="R8" s="16"/>
    </row>
    <row r="9" spans="1:18">
      <c r="A9" s="13" t="str">
        <f>VLOOKUP(1,LKQtr,2)</f>
        <v>January</v>
      </c>
      <c r="B9" s="105">
        <v>1</v>
      </c>
      <c r="C9" s="54">
        <f t="shared" ref="C9:C20" si="0">SUMIFS(SumRevenue,SumMonth,$A9,SumBank,C$5)</f>
        <v>0.02</v>
      </c>
      <c r="D9" s="146">
        <f t="shared" ref="D9" si="1">SUMIFS(SumExp,SumMonth,$A9,SumBank,C$5)</f>
        <v>0</v>
      </c>
      <c r="E9" s="148">
        <f t="shared" ref="E9:E19" si="2">IF(+E8+C9-D9=E8,0,+E8+C9-D9)</f>
        <v>174290.25999999998</v>
      </c>
      <c r="F9" s="54">
        <v>0</v>
      </c>
      <c r="G9" s="146">
        <v>0</v>
      </c>
      <c r="H9" s="148">
        <v>561.25</v>
      </c>
      <c r="I9" s="54">
        <f t="shared" ref="I9:I20" si="3">SUMIFS(SumRevenue,SumMonth,$A9,SumBank,I$5)</f>
        <v>0</v>
      </c>
      <c r="J9" s="146">
        <f t="shared" ref="J9:J20" si="4">SUMIFS(SumExp,SumMonth,$A9,SumBank,I$5)</f>
        <v>0</v>
      </c>
      <c r="K9" s="148">
        <f>IF(H9&lt;&gt;0,(+K8+I9-J9),0)</f>
        <v>25958.11</v>
      </c>
      <c r="L9" s="96"/>
      <c r="M9" s="54">
        <f t="shared" ref="M9:M20" si="5">SUMIFS(SumRevenue,SumMonth,$A9,SumAccount,M$5)</f>
        <v>0</v>
      </c>
      <c r="N9" s="146">
        <f t="shared" ref="N9:N20" si="6">SUMIFS(SumExp,SumMonth,$A9,SumAccount,N$5)</f>
        <v>0</v>
      </c>
      <c r="O9" s="147">
        <f>IF(E9&lt;&gt;0,+O8+M9-N9,0)</f>
        <v>129283.65</v>
      </c>
    </row>
    <row r="10" spans="1:18">
      <c r="A10" s="13" t="str">
        <f>VLOOKUP(1,LKQtr,3)</f>
        <v>February</v>
      </c>
      <c r="B10" s="105">
        <v>2</v>
      </c>
      <c r="C10" s="54">
        <f t="shared" si="0"/>
        <v>2967.23</v>
      </c>
      <c r="D10" s="146">
        <f t="shared" ref="D10:D20" si="7">SUMIFS(SumExp,SumMonth,$A10,SumBank,C$5)</f>
        <v>0</v>
      </c>
      <c r="E10" s="148">
        <f t="shared" si="2"/>
        <v>177257.49</v>
      </c>
      <c r="F10" s="54">
        <v>0</v>
      </c>
      <c r="G10" s="146">
        <v>0</v>
      </c>
      <c r="H10" s="148">
        <v>561.25</v>
      </c>
      <c r="I10" s="54">
        <f t="shared" si="3"/>
        <v>0</v>
      </c>
      <c r="J10" s="146">
        <f t="shared" si="4"/>
        <v>0</v>
      </c>
      <c r="K10" s="148">
        <f t="shared" ref="K10:K20" si="8">IF(H10&lt;&gt;0,(+K9+I10-J10),0)</f>
        <v>25958.11</v>
      </c>
      <c r="L10" s="96"/>
      <c r="M10" s="54">
        <f t="shared" si="5"/>
        <v>35</v>
      </c>
      <c r="N10" s="146">
        <f t="shared" si="6"/>
        <v>0</v>
      </c>
      <c r="O10" s="147">
        <f t="shared" ref="O10:O20" si="9">IF(E10&lt;&gt;0,+O9+M10-N10,0)</f>
        <v>129318.65</v>
      </c>
    </row>
    <row r="11" spans="1:18">
      <c r="A11" s="13" t="str">
        <f>VLOOKUP(1,LKQtr,4)</f>
        <v>March</v>
      </c>
      <c r="B11" s="105">
        <v>3</v>
      </c>
      <c r="C11" s="54">
        <f t="shared" si="0"/>
        <v>1691.67</v>
      </c>
      <c r="D11" s="146">
        <f t="shared" si="7"/>
        <v>0</v>
      </c>
      <c r="E11" s="148">
        <f t="shared" si="2"/>
        <v>178949.16</v>
      </c>
      <c r="F11" s="54">
        <v>0</v>
      </c>
      <c r="G11" s="146">
        <v>0</v>
      </c>
      <c r="H11" s="148">
        <v>561.25</v>
      </c>
      <c r="I11" s="54">
        <f t="shared" si="3"/>
        <v>0</v>
      </c>
      <c r="J11" s="146">
        <f t="shared" si="4"/>
        <v>0</v>
      </c>
      <c r="K11" s="148">
        <f t="shared" si="8"/>
        <v>25958.11</v>
      </c>
      <c r="L11" s="96"/>
      <c r="M11" s="54">
        <f t="shared" si="5"/>
        <v>0</v>
      </c>
      <c r="N11" s="146">
        <f t="shared" si="6"/>
        <v>0</v>
      </c>
      <c r="O11" s="147">
        <f t="shared" si="9"/>
        <v>129318.65</v>
      </c>
    </row>
    <row r="12" spans="1:18">
      <c r="A12" s="13" t="str">
        <f>VLOOKUP(2,LKQtr,2)</f>
        <v>April</v>
      </c>
      <c r="B12" s="105">
        <v>4</v>
      </c>
      <c r="C12" s="54">
        <f t="shared" si="0"/>
        <v>4962.22</v>
      </c>
      <c r="D12" s="146">
        <f t="shared" si="7"/>
        <v>0</v>
      </c>
      <c r="E12" s="148">
        <f t="shared" si="2"/>
        <v>183911.38</v>
      </c>
      <c r="F12" s="54">
        <v>0</v>
      </c>
      <c r="G12" s="146">
        <v>0</v>
      </c>
      <c r="H12" s="148">
        <v>561.25</v>
      </c>
      <c r="I12" s="54">
        <f t="shared" si="3"/>
        <v>3339.9500000000007</v>
      </c>
      <c r="J12" s="146">
        <f t="shared" si="4"/>
        <v>0</v>
      </c>
      <c r="K12" s="148">
        <f t="shared" si="8"/>
        <v>29298.06</v>
      </c>
      <c r="L12" s="96"/>
      <c r="M12" s="54">
        <f t="shared" si="5"/>
        <v>0</v>
      </c>
      <c r="N12" s="146">
        <f t="shared" si="6"/>
        <v>0</v>
      </c>
      <c r="O12" s="147">
        <f t="shared" si="9"/>
        <v>129318.65</v>
      </c>
    </row>
    <row r="13" spans="1:18">
      <c r="A13" s="13" t="str">
        <f>VLOOKUP(2,LKQtr,3)</f>
        <v>May</v>
      </c>
      <c r="B13" s="105">
        <v>5</v>
      </c>
      <c r="C13" s="54">
        <f t="shared" si="0"/>
        <v>2647.16</v>
      </c>
      <c r="D13" s="146">
        <f t="shared" si="7"/>
        <v>0</v>
      </c>
      <c r="E13" s="148">
        <f t="shared" si="2"/>
        <v>186558.54</v>
      </c>
      <c r="F13" s="54">
        <v>0</v>
      </c>
      <c r="G13" s="146">
        <v>0</v>
      </c>
      <c r="H13" s="148">
        <v>561.25</v>
      </c>
      <c r="I13" s="54">
        <f t="shared" si="3"/>
        <v>0</v>
      </c>
      <c r="J13" s="146">
        <f t="shared" si="4"/>
        <v>0</v>
      </c>
      <c r="K13" s="148">
        <f t="shared" si="8"/>
        <v>29298.06</v>
      </c>
      <c r="L13" s="96"/>
      <c r="M13" s="54">
        <f t="shared" si="5"/>
        <v>0</v>
      </c>
      <c r="N13" s="146">
        <f t="shared" si="6"/>
        <v>0</v>
      </c>
      <c r="O13" s="147">
        <f t="shared" si="9"/>
        <v>129318.65</v>
      </c>
    </row>
    <row r="14" spans="1:18">
      <c r="A14" s="13" t="str">
        <f>VLOOKUP(2,LKQtr,4)</f>
        <v>June</v>
      </c>
      <c r="B14" s="105">
        <v>6</v>
      </c>
      <c r="C14" s="54">
        <f t="shared" si="0"/>
        <v>1572.72</v>
      </c>
      <c r="D14" s="146">
        <f t="shared" si="7"/>
        <v>0</v>
      </c>
      <c r="E14" s="148">
        <f t="shared" si="2"/>
        <v>188131.26</v>
      </c>
      <c r="F14" s="54">
        <v>0</v>
      </c>
      <c r="G14" s="146">
        <v>0</v>
      </c>
      <c r="H14" s="148">
        <v>561.25</v>
      </c>
      <c r="I14" s="54">
        <f t="shared" si="3"/>
        <v>0</v>
      </c>
      <c r="J14" s="146">
        <f t="shared" si="4"/>
        <v>0</v>
      </c>
      <c r="K14" s="148">
        <f t="shared" si="8"/>
        <v>29298.06</v>
      </c>
      <c r="L14" s="96"/>
      <c r="M14" s="54">
        <f t="shared" si="5"/>
        <v>50</v>
      </c>
      <c r="N14" s="146">
        <f t="shared" si="6"/>
        <v>0</v>
      </c>
      <c r="O14" s="147">
        <f t="shared" si="9"/>
        <v>129368.65</v>
      </c>
    </row>
    <row r="15" spans="1:18">
      <c r="A15" s="13" t="str">
        <f>VLOOKUP(3,LKQtr,2)</f>
        <v>July</v>
      </c>
      <c r="B15" s="105">
        <v>7</v>
      </c>
      <c r="C15" s="54">
        <f t="shared" si="0"/>
        <v>468.53</v>
      </c>
      <c r="D15" s="146">
        <f t="shared" si="7"/>
        <v>0</v>
      </c>
      <c r="E15" s="148">
        <f t="shared" si="2"/>
        <v>188599.79</v>
      </c>
      <c r="F15" s="54">
        <v>0</v>
      </c>
      <c r="G15" s="146">
        <v>0</v>
      </c>
      <c r="H15" s="148">
        <v>561.25</v>
      </c>
      <c r="I15" s="54">
        <f t="shared" si="3"/>
        <v>0</v>
      </c>
      <c r="J15" s="146">
        <f t="shared" si="4"/>
        <v>0</v>
      </c>
      <c r="K15" s="148">
        <f t="shared" si="8"/>
        <v>29298.06</v>
      </c>
      <c r="L15" s="96"/>
      <c r="M15" s="54">
        <f t="shared" si="5"/>
        <v>0</v>
      </c>
      <c r="N15" s="146">
        <f t="shared" si="6"/>
        <v>0</v>
      </c>
      <c r="O15" s="147">
        <f t="shared" si="9"/>
        <v>129368.65</v>
      </c>
      <c r="Q15" s="124"/>
    </row>
    <row r="16" spans="1:18">
      <c r="A16" s="13" t="str">
        <f>VLOOKUP(3,LKQtr,3)</f>
        <v>August</v>
      </c>
      <c r="B16" s="105">
        <v>8</v>
      </c>
      <c r="C16" s="54">
        <f t="shared" si="0"/>
        <v>3072.42</v>
      </c>
      <c r="D16" s="146">
        <f t="shared" si="7"/>
        <v>0</v>
      </c>
      <c r="E16" s="148">
        <f t="shared" si="2"/>
        <v>191672.21000000002</v>
      </c>
      <c r="F16" s="54">
        <v>-561</v>
      </c>
      <c r="G16" s="146">
        <v>0</v>
      </c>
      <c r="H16" s="148">
        <v>0.25</v>
      </c>
      <c r="I16" s="54">
        <f t="shared" si="3"/>
        <v>0</v>
      </c>
      <c r="J16" s="146">
        <f t="shared" si="4"/>
        <v>0</v>
      </c>
      <c r="K16" s="148">
        <f t="shared" si="8"/>
        <v>29298.06</v>
      </c>
      <c r="L16" s="96"/>
      <c r="M16" s="54">
        <f t="shared" si="5"/>
        <v>50</v>
      </c>
      <c r="N16" s="146">
        <f t="shared" si="6"/>
        <v>0</v>
      </c>
      <c r="O16" s="147">
        <f t="shared" si="9"/>
        <v>129418.65</v>
      </c>
    </row>
    <row r="17" spans="1:16">
      <c r="A17" s="13" t="str">
        <f>VLOOKUP(3,LKQtr,4)</f>
        <v>September</v>
      </c>
      <c r="B17" s="105">
        <v>9</v>
      </c>
      <c r="C17" s="54">
        <f t="shared" si="0"/>
        <v>-4343.4399999999996</v>
      </c>
      <c r="D17" s="146">
        <f t="shared" si="7"/>
        <v>0</v>
      </c>
      <c r="E17" s="148">
        <f t="shared" si="2"/>
        <v>187328.77000000002</v>
      </c>
      <c r="F17" s="54">
        <v>0</v>
      </c>
      <c r="G17" s="146">
        <v>0</v>
      </c>
      <c r="H17" s="148">
        <v>0.25</v>
      </c>
      <c r="I17" s="54">
        <f t="shared" si="3"/>
        <v>0</v>
      </c>
      <c r="J17" s="146">
        <f t="shared" si="4"/>
        <v>0</v>
      </c>
      <c r="K17" s="148">
        <f t="shared" si="8"/>
        <v>29298.06</v>
      </c>
      <c r="L17" s="96"/>
      <c r="M17" s="54">
        <f t="shared" si="5"/>
        <v>125</v>
      </c>
      <c r="N17" s="146">
        <f t="shared" si="6"/>
        <v>0</v>
      </c>
      <c r="O17" s="147">
        <f t="shared" si="9"/>
        <v>129543.65</v>
      </c>
    </row>
    <row r="18" spans="1:16">
      <c r="A18" s="13" t="str">
        <f>VLOOKUP(4,LKQtr,2)</f>
        <v>October</v>
      </c>
      <c r="B18" s="105">
        <v>10</v>
      </c>
      <c r="C18" s="54">
        <f t="shared" si="0"/>
        <v>5223.9799999999996</v>
      </c>
      <c r="D18" s="146">
        <f t="shared" si="7"/>
        <v>0</v>
      </c>
      <c r="E18" s="148">
        <f t="shared" si="2"/>
        <v>192552.75000000003</v>
      </c>
      <c r="F18" s="54">
        <v>0</v>
      </c>
      <c r="G18" s="146">
        <v>0</v>
      </c>
      <c r="H18" s="148">
        <v>0</v>
      </c>
      <c r="I18" s="54">
        <f t="shared" si="3"/>
        <v>0</v>
      </c>
      <c r="J18" s="146">
        <f t="shared" si="4"/>
        <v>0</v>
      </c>
      <c r="K18" s="148">
        <f t="shared" si="8"/>
        <v>0</v>
      </c>
      <c r="L18" s="96"/>
      <c r="M18" s="54">
        <f t="shared" si="5"/>
        <v>50</v>
      </c>
      <c r="N18" s="146">
        <f t="shared" si="6"/>
        <v>0</v>
      </c>
      <c r="O18" s="147">
        <f t="shared" si="9"/>
        <v>129593.65</v>
      </c>
    </row>
    <row r="19" spans="1:16">
      <c r="A19" s="13" t="str">
        <f>VLOOKUP(4,LKQtr,3)</f>
        <v>November</v>
      </c>
      <c r="B19" s="105">
        <v>11</v>
      </c>
      <c r="C19" s="54">
        <f t="shared" si="0"/>
        <v>0</v>
      </c>
      <c r="D19" s="146">
        <f t="shared" si="7"/>
        <v>0</v>
      </c>
      <c r="E19" s="148">
        <f t="shared" si="2"/>
        <v>0</v>
      </c>
      <c r="F19" s="54">
        <v>0</v>
      </c>
      <c r="G19" s="146">
        <v>0</v>
      </c>
      <c r="H19" s="148">
        <v>0</v>
      </c>
      <c r="I19" s="54">
        <f t="shared" si="3"/>
        <v>0</v>
      </c>
      <c r="J19" s="146">
        <f t="shared" si="4"/>
        <v>0</v>
      </c>
      <c r="K19" s="148">
        <f t="shared" si="8"/>
        <v>0</v>
      </c>
      <c r="L19" s="96"/>
      <c r="M19" s="54">
        <f t="shared" si="5"/>
        <v>0</v>
      </c>
      <c r="N19" s="146">
        <f t="shared" si="6"/>
        <v>0</v>
      </c>
      <c r="O19" s="147">
        <f t="shared" si="9"/>
        <v>0</v>
      </c>
    </row>
    <row r="20" spans="1:16">
      <c r="A20" s="13" t="str">
        <f>VLOOKUP(4,LKQtr,4)</f>
        <v>December</v>
      </c>
      <c r="B20" s="105">
        <v>12</v>
      </c>
      <c r="C20" s="54">
        <f t="shared" si="0"/>
        <v>0</v>
      </c>
      <c r="D20" s="146">
        <f t="shared" si="7"/>
        <v>0</v>
      </c>
      <c r="E20" s="148">
        <f>IF(+E19+C20-D20=E19,0,+E19+C20-D20)</f>
        <v>0</v>
      </c>
      <c r="F20" s="54">
        <v>0</v>
      </c>
      <c r="G20" s="146">
        <v>0</v>
      </c>
      <c r="H20" s="148">
        <v>0</v>
      </c>
      <c r="I20" s="54">
        <f t="shared" si="3"/>
        <v>0</v>
      </c>
      <c r="J20" s="146">
        <f t="shared" si="4"/>
        <v>0</v>
      </c>
      <c r="K20" s="148">
        <f t="shared" si="8"/>
        <v>0</v>
      </c>
      <c r="L20" s="96"/>
      <c r="M20" s="54">
        <f t="shared" si="5"/>
        <v>0</v>
      </c>
      <c r="N20" s="146">
        <f t="shared" si="6"/>
        <v>0</v>
      </c>
      <c r="O20" s="147">
        <f t="shared" si="9"/>
        <v>0</v>
      </c>
    </row>
    <row r="21" spans="1:16" ht="16.5" thickBot="1">
      <c r="A21" s="14" t="s">
        <v>9</v>
      </c>
      <c r="B21" s="14"/>
      <c r="C21" s="7">
        <f>SUM(C9:C20)</f>
        <v>18262.510000000002</v>
      </c>
      <c r="D21" s="8">
        <f>SUM(D9:D20)</f>
        <v>0</v>
      </c>
      <c r="E21" s="9">
        <f ca="1">IF(ISNA(INDIRECT("E"&amp;(MATCH(0,E$9:E$20,0)+7))),E$20,INDIRECT("E"&amp;(MATCH(0,E$9:E$20,0)+7)))</f>
        <v>192552.75000000003</v>
      </c>
      <c r="F21" s="7">
        <f>SUM(F9:F20)</f>
        <v>-561</v>
      </c>
      <c r="G21" s="8">
        <f>SUM(G9:G20)</f>
        <v>0</v>
      </c>
      <c r="H21" s="9">
        <v>0</v>
      </c>
      <c r="I21" s="7">
        <f>SUM(I9:I20)</f>
        <v>3339.9500000000007</v>
      </c>
      <c r="J21" s="8">
        <f>SUM(J9:J20)</f>
        <v>0</v>
      </c>
      <c r="K21" s="9">
        <f ca="1">IF(ISNA(INDIRECT("K"&amp;(MATCH(0,K$9:K$20,0)+7))),K$20,INDIRECT("K"&amp;(MATCH(0,K$9:K$20,0)+7)))</f>
        <v>29298.06</v>
      </c>
      <c r="L21" s="97"/>
      <c r="M21" s="7">
        <f>SUM(M9:M20)</f>
        <v>310</v>
      </c>
      <c r="N21" s="8">
        <f>SUM(N9:N20)</f>
        <v>0</v>
      </c>
      <c r="O21" s="9">
        <f>+O20</f>
        <v>0</v>
      </c>
    </row>
    <row r="22" spans="1:16">
      <c r="E22" s="3"/>
      <c r="H22" s="3"/>
      <c r="K22" s="3"/>
      <c r="L22" s="17"/>
      <c r="O22" s="3"/>
    </row>
    <row r="23" spans="1:16" ht="16.5" thickBot="1">
      <c r="A23" s="191" t="s">
        <v>101</v>
      </c>
      <c r="C23" s="134"/>
      <c r="D23" s="135" t="s">
        <v>102</v>
      </c>
      <c r="E23" s="136">
        <v>192552.75</v>
      </c>
      <c r="F23" s="145"/>
      <c r="G23" s="135" t="s">
        <v>102</v>
      </c>
      <c r="H23" s="136">
        <v>0</v>
      </c>
      <c r="I23" s="145"/>
      <c r="J23" s="135" t="s">
        <v>102</v>
      </c>
      <c r="K23" s="136">
        <v>29298.06</v>
      </c>
      <c r="L23" s="17"/>
      <c r="N23" s="18"/>
      <c r="O23" s="98"/>
      <c r="P23" s="16"/>
    </row>
    <row r="24" spans="1:16">
      <c r="A24" s="192"/>
      <c r="C24" s="137"/>
      <c r="D24" s="152" t="s">
        <v>103</v>
      </c>
      <c r="E24" s="138">
        <f ca="1">ROUND(E23-E21,2)</f>
        <v>0</v>
      </c>
      <c r="F24" s="137"/>
      <c r="G24" s="152" t="s">
        <v>103</v>
      </c>
      <c r="H24" s="138">
        <f>ROUND(H23-H21,2)</f>
        <v>0</v>
      </c>
      <c r="I24" s="137"/>
      <c r="J24" s="152" t="s">
        <v>103</v>
      </c>
      <c r="K24" s="138">
        <f ca="1">ROUND(K23-K21,2)</f>
        <v>0</v>
      </c>
      <c r="L24" s="17"/>
      <c r="N24" s="18"/>
      <c r="O24" s="23"/>
    </row>
    <row r="25" spans="1:16" ht="15.75">
      <c r="A25" s="192"/>
      <c r="C25" s="139" t="s">
        <v>89</v>
      </c>
      <c r="D25" s="18"/>
      <c r="E25" s="140"/>
      <c r="F25" s="139" t="s">
        <v>89</v>
      </c>
      <c r="G25" s="18"/>
      <c r="H25" s="140"/>
      <c r="I25" s="137"/>
      <c r="J25" s="18"/>
      <c r="K25" s="140"/>
      <c r="L25" s="17"/>
      <c r="M25" s="17"/>
      <c r="N25" s="17"/>
      <c r="O25" s="18"/>
    </row>
    <row r="26" spans="1:16">
      <c r="A26" s="192"/>
      <c r="C26" s="137" t="str">
        <f>+$D$23</f>
        <v xml:space="preserve">Curr Stmt.  </v>
      </c>
      <c r="D26" s="18"/>
      <c r="E26" s="138">
        <f>+E23</f>
        <v>192552.75</v>
      </c>
      <c r="F26" s="137" t="str">
        <f>+$D$23</f>
        <v xml:space="preserve">Curr Stmt.  </v>
      </c>
      <c r="G26" s="18"/>
      <c r="H26" s="138">
        <f>+H23</f>
        <v>0</v>
      </c>
      <c r="I26" s="137" t="str">
        <f>+$D$23</f>
        <v xml:space="preserve">Curr Stmt.  </v>
      </c>
      <c r="J26" s="18"/>
      <c r="K26" s="138">
        <f>+K23</f>
        <v>29298.06</v>
      </c>
      <c r="N26" s="3"/>
    </row>
    <row r="27" spans="1:16">
      <c r="A27" s="192"/>
      <c r="C27" s="177" t="s">
        <v>88</v>
      </c>
      <c r="D27" s="178"/>
      <c r="E27" s="140"/>
      <c r="F27" s="177" t="s">
        <v>88</v>
      </c>
      <c r="G27" s="178"/>
      <c r="H27" s="140"/>
      <c r="I27" s="177" t="s">
        <v>88</v>
      </c>
      <c r="J27" s="178"/>
      <c r="K27" s="140"/>
      <c r="N27" s="3"/>
    </row>
    <row r="28" spans="1:16" ht="15.75">
      <c r="A28" s="192"/>
      <c r="C28" s="137"/>
      <c r="D28" s="151"/>
      <c r="E28" s="142"/>
      <c r="F28" s="137"/>
      <c r="G28" s="141"/>
      <c r="H28" s="142"/>
      <c r="I28" s="137"/>
      <c r="J28" s="141"/>
      <c r="K28" s="142"/>
      <c r="L28" s="42"/>
      <c r="M28" s="42"/>
      <c r="N28" s="3"/>
    </row>
    <row r="29" spans="1:16">
      <c r="A29" s="192"/>
      <c r="C29" s="137"/>
      <c r="D29" s="141"/>
      <c r="E29" s="142"/>
      <c r="F29" s="137"/>
      <c r="G29" s="141"/>
      <c r="H29" s="142"/>
      <c r="I29" s="137"/>
      <c r="J29" s="141"/>
      <c r="K29" s="142"/>
      <c r="N29" s="3"/>
    </row>
    <row r="30" spans="1:16">
      <c r="A30" s="192"/>
      <c r="C30" s="137" t="s">
        <v>90</v>
      </c>
      <c r="D30" s="18"/>
      <c r="E30" s="143">
        <f>+E26-SUM(E28:E29)</f>
        <v>192552.75</v>
      </c>
      <c r="F30" s="137" t="s">
        <v>90</v>
      </c>
      <c r="G30" s="18"/>
      <c r="H30" s="143">
        <f>+H26-SUM(H28:H29)</f>
        <v>0</v>
      </c>
      <c r="I30" s="137" t="s">
        <v>90</v>
      </c>
      <c r="J30" s="18"/>
      <c r="K30" s="143">
        <f>+K26-SUM(K28:K29)</f>
        <v>29298.06</v>
      </c>
      <c r="N30" s="3"/>
    </row>
    <row r="31" spans="1:16">
      <c r="A31" s="193"/>
      <c r="C31" s="144" t="s">
        <v>42</v>
      </c>
      <c r="D31" s="110"/>
      <c r="E31" s="150" t="str">
        <f ca="1">IF(ROUND(E21-E30,2)=0,"OK","Check it")</f>
        <v>OK</v>
      </c>
      <c r="F31" s="144" t="s">
        <v>42</v>
      </c>
      <c r="G31" s="110"/>
      <c r="H31" s="150" t="str">
        <f>IF(ROUND(H21-H30,2)=0,"OK","Check it")</f>
        <v>OK</v>
      </c>
      <c r="I31" s="144" t="s">
        <v>42</v>
      </c>
      <c r="J31" s="110"/>
      <c r="K31" s="150" t="str">
        <f ca="1">IF(ROUND(K21-K30,2)=0,"OK","Check it")</f>
        <v>OK</v>
      </c>
      <c r="N31" s="3"/>
    </row>
    <row r="32" spans="1:16">
      <c r="E32" s="3"/>
      <c r="K32" s="3"/>
      <c r="N32" s="3"/>
    </row>
    <row r="33" spans="1:14" ht="15.75">
      <c r="E33" s="3"/>
      <c r="H33" s="44"/>
      <c r="K33" s="3"/>
      <c r="N33" s="3"/>
    </row>
    <row r="34" spans="1:14">
      <c r="E34" s="149"/>
      <c r="H34" s="3"/>
      <c r="K34" s="3"/>
      <c r="N34" s="3"/>
    </row>
    <row r="35" spans="1:14">
      <c r="A35" s="167" t="s">
        <v>166</v>
      </c>
      <c r="E35" s="3"/>
      <c r="H35" s="3"/>
      <c r="K35" s="3"/>
      <c r="N35" s="3"/>
    </row>
    <row r="40" spans="1:14">
      <c r="E40" s="3"/>
      <c r="H40" s="3"/>
      <c r="K40" s="3"/>
      <c r="N40" s="3"/>
    </row>
    <row r="41" spans="1:14">
      <c r="E41" s="3"/>
      <c r="H41" s="3"/>
      <c r="K41" s="3"/>
      <c r="N41" s="3"/>
    </row>
    <row r="43" spans="1:14">
      <c r="E43" s="3"/>
      <c r="H43" s="3"/>
      <c r="K43" s="3"/>
      <c r="N43" s="3"/>
    </row>
    <row r="48" spans="1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21">
    <mergeCell ref="L7:L8"/>
    <mergeCell ref="A23:A31"/>
    <mergeCell ref="M7:M8"/>
    <mergeCell ref="F6:H6"/>
    <mergeCell ref="I6:K6"/>
    <mergeCell ref="A2:O2"/>
    <mergeCell ref="A1:O1"/>
    <mergeCell ref="A3:O3"/>
    <mergeCell ref="I27:J27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</mergeCells>
  <conditionalFormatting sqref="E31">
    <cfRule type="expression" dxfId="5" priority="9">
      <formula>E31&lt;&gt;"OK"</formula>
    </cfRule>
    <cfRule type="expression" dxfId="4" priority="10">
      <formula>E31="OK"</formula>
    </cfRule>
  </conditionalFormatting>
  <conditionalFormatting sqref="H31">
    <cfRule type="expression" dxfId="3" priority="5">
      <formula>H31&lt;&gt;"OK"</formula>
    </cfRule>
    <cfRule type="expression" dxfId="2" priority="6">
      <formula>H31="OK"</formula>
    </cfRule>
  </conditionalFormatting>
  <conditionalFormatting sqref="K31">
    <cfRule type="expression" dxfId="1" priority="1">
      <formula>K31&lt;&gt;"OK"</formula>
    </cfRule>
    <cfRule type="expression" dxfId="0" priority="2">
      <formula>K31="OK"</formula>
    </cfRule>
  </conditionalFormatting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L177"/>
  <sheetViews>
    <sheetView showGridLines="0" workbookViewId="0">
      <selection activeCell="A2" sqref="A2"/>
    </sheetView>
  </sheetViews>
  <sheetFormatPr defaultColWidth="8.7109375" defaultRowHeight="15"/>
  <cols>
    <col min="1" max="1" width="12.140625" style="36" customWidth="1"/>
    <col min="2" max="2" width="7.7109375" style="36" customWidth="1"/>
    <col min="3" max="3" width="31.28515625" style="36" customWidth="1"/>
    <col min="4" max="6" width="8.7109375" style="36"/>
    <col min="7" max="9" width="13.28515625" style="36" customWidth="1"/>
    <col min="10" max="10" width="17.5703125" style="36" bestFit="1" customWidth="1"/>
    <col min="11" max="11" width="3.42578125" style="36" bestFit="1" customWidth="1"/>
    <col min="12" max="12" width="38.140625" style="36" customWidth="1"/>
    <col min="13" max="14" width="8.7109375" style="36"/>
    <col min="15" max="15" width="9.85546875" style="36" bestFit="1" customWidth="1"/>
    <col min="16" max="16384" width="8.7109375" style="36"/>
  </cols>
  <sheetData>
    <row r="1" spans="1:12" ht="23.25">
      <c r="B1" s="196" t="s">
        <v>10</v>
      </c>
      <c r="C1" s="196"/>
      <c r="D1" s="196"/>
      <c r="E1" s="196"/>
    </row>
    <row r="2" spans="1:12" ht="15.6" customHeight="1">
      <c r="A2" s="38"/>
      <c r="B2" s="39"/>
    </row>
    <row r="3" spans="1:12" ht="15.6" customHeight="1">
      <c r="A3" s="37"/>
      <c r="B3" s="37"/>
      <c r="C3" s="41" t="s">
        <v>29</v>
      </c>
      <c r="F3" s="197" t="s">
        <v>73</v>
      </c>
      <c r="G3" s="197"/>
      <c r="H3" s="37"/>
      <c r="I3" s="37"/>
      <c r="J3" s="37"/>
      <c r="K3" s="37"/>
    </row>
    <row r="4" spans="1:12" ht="15.6" customHeight="1">
      <c r="A4" s="37"/>
      <c r="B4" s="36">
        <v>1000</v>
      </c>
      <c r="C4" s="47" t="s">
        <v>57</v>
      </c>
      <c r="F4" s="101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69</v>
      </c>
    </row>
    <row r="5" spans="1:12" ht="15.6" customHeight="1">
      <c r="A5" s="37"/>
      <c r="B5" s="36">
        <v>1010</v>
      </c>
      <c r="C5" s="47" t="s">
        <v>0</v>
      </c>
      <c r="F5" s="101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70</v>
      </c>
    </row>
    <row r="6" spans="1:12" ht="15.6" customHeight="1">
      <c r="A6" s="37"/>
      <c r="B6" s="36">
        <v>1020</v>
      </c>
      <c r="C6" s="47" t="s">
        <v>58</v>
      </c>
      <c r="F6" s="101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71</v>
      </c>
    </row>
    <row r="7" spans="1:12" ht="15.6" customHeight="1">
      <c r="A7" s="37"/>
      <c r="C7" s="47"/>
      <c r="F7" s="101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72</v>
      </c>
    </row>
    <row r="8" spans="1:12" ht="15.6" customHeight="1">
      <c r="A8" s="37"/>
      <c r="B8" s="37"/>
      <c r="C8" s="41"/>
    </row>
    <row r="9" spans="1:12" ht="21" customHeight="1">
      <c r="A9" s="37"/>
      <c r="B9" s="37"/>
      <c r="C9" s="41" t="s">
        <v>30</v>
      </c>
      <c r="I9" s="41" t="s">
        <v>135</v>
      </c>
      <c r="J9" s="41"/>
    </row>
    <row r="10" spans="1:12" ht="15.6" customHeight="1">
      <c r="A10" s="37"/>
      <c r="B10" s="37"/>
      <c r="C10" s="92" t="s">
        <v>59</v>
      </c>
      <c r="F10" s="197" t="s">
        <v>74</v>
      </c>
      <c r="G10" s="197"/>
      <c r="I10" s="37" t="s">
        <v>86</v>
      </c>
      <c r="J10" s="164" t="s">
        <v>3</v>
      </c>
      <c r="L10" s="164" t="s">
        <v>146</v>
      </c>
    </row>
    <row r="11" spans="1:12" ht="15.6" customHeight="1">
      <c r="A11" s="37"/>
      <c r="B11" s="36">
        <v>4000</v>
      </c>
      <c r="C11" s="34" t="s">
        <v>81</v>
      </c>
      <c r="F11" s="101">
        <v>1</v>
      </c>
      <c r="G11" s="103" t="s">
        <v>18</v>
      </c>
      <c r="H11" s="101">
        <v>1</v>
      </c>
      <c r="I11" s="36" t="s">
        <v>104</v>
      </c>
      <c r="J11" s="163">
        <v>145887.67999999999</v>
      </c>
      <c r="L11" s="165">
        <f>(SUM(INDEX($J$11:$J$50,MATCH(0,$J$11:$J$50,0)):INDEX($J$11:$J$50,MATCH(0,$J$11:$J$50,0)-16))/16)*0.04</f>
        <v>7175.4269250000016</v>
      </c>
    </row>
    <row r="12" spans="1:12" ht="15.6" customHeight="1">
      <c r="A12" s="37"/>
      <c r="B12" s="36">
        <v>4010</v>
      </c>
      <c r="C12" s="34" t="s">
        <v>60</v>
      </c>
      <c r="F12" s="101">
        <v>2</v>
      </c>
      <c r="G12" s="103" t="s">
        <v>19</v>
      </c>
      <c r="H12" s="101">
        <v>2</v>
      </c>
      <c r="I12" s="36" t="s">
        <v>105</v>
      </c>
      <c r="J12" s="163">
        <v>148332.07</v>
      </c>
      <c r="L12" s="164" t="s">
        <v>147</v>
      </c>
    </row>
    <row r="13" spans="1:12" ht="15.6" customHeight="1">
      <c r="A13" s="37"/>
      <c r="B13" s="36">
        <v>4020</v>
      </c>
      <c r="C13" s="34" t="s">
        <v>87</v>
      </c>
      <c r="F13" s="101">
        <v>3</v>
      </c>
      <c r="G13" s="103" t="s">
        <v>20</v>
      </c>
      <c r="H13" s="101">
        <v>3</v>
      </c>
      <c r="I13" s="36" t="s">
        <v>106</v>
      </c>
      <c r="J13" s="163">
        <v>154312.63</v>
      </c>
      <c r="K13" s="162"/>
      <c r="L13" s="165">
        <f>(SUM(INDEX($J$11:$J$50,MATCH(0,$J$11:$J$50,0)):INDEX($J$11:$J$50,MATCH(0,$J$11:$J$50,0)-16))/16)*0.05</f>
        <v>8969.2836562500015</v>
      </c>
    </row>
    <row r="14" spans="1:12" ht="15.6" customHeight="1">
      <c r="A14" s="37"/>
      <c r="F14" s="101">
        <v>4</v>
      </c>
      <c r="G14" s="103" t="s">
        <v>21</v>
      </c>
      <c r="H14" s="101">
        <v>4</v>
      </c>
      <c r="I14" s="36" t="s">
        <v>107</v>
      </c>
      <c r="J14" s="163">
        <v>154736.81</v>
      </c>
      <c r="L14" s="164" t="s">
        <v>148</v>
      </c>
    </row>
    <row r="15" spans="1:12" ht="15.6" customHeight="1">
      <c r="A15" s="37"/>
      <c r="C15" s="92" t="s">
        <v>67</v>
      </c>
      <c r="F15" s="101">
        <v>5</v>
      </c>
      <c r="G15" s="103" t="s">
        <v>22</v>
      </c>
      <c r="H15" s="101">
        <v>5</v>
      </c>
      <c r="I15" s="36" t="s">
        <v>108</v>
      </c>
      <c r="J15" s="163">
        <v>161471.76999999999</v>
      </c>
      <c r="L15" s="165">
        <f>(SUM(INDEX($J$11:$J$50,MATCH(0,$J$11:$J$50,0)):INDEX($J$11:$J$50,MATCH(0,$J$11:$J$50,0)-16))/16)*0.06</f>
        <v>10763.140387500001</v>
      </c>
    </row>
    <row r="16" spans="1:12" ht="15.6" customHeight="1">
      <c r="A16" s="37"/>
      <c r="B16" s="36">
        <v>5000</v>
      </c>
      <c r="C16" s="35" t="s">
        <v>43</v>
      </c>
      <c r="F16" s="101">
        <v>6</v>
      </c>
      <c r="G16" s="103" t="s">
        <v>23</v>
      </c>
      <c r="H16" s="101">
        <v>6</v>
      </c>
      <c r="I16" s="36" t="s">
        <v>109</v>
      </c>
      <c r="J16" s="163">
        <v>166190.04</v>
      </c>
      <c r="L16"/>
    </row>
    <row r="17" spans="1:12" ht="15.6" customHeight="1">
      <c r="A17" s="37"/>
      <c r="B17" s="36">
        <v>5010</v>
      </c>
      <c r="C17" s="35" t="s">
        <v>61</v>
      </c>
      <c r="F17" s="101">
        <v>7</v>
      </c>
      <c r="G17" s="103" t="s">
        <v>24</v>
      </c>
      <c r="H17" s="101">
        <v>7</v>
      </c>
      <c r="I17" s="36" t="s">
        <v>110</v>
      </c>
      <c r="J17" s="163">
        <v>171555.62</v>
      </c>
      <c r="L17" s="164" t="s">
        <v>149</v>
      </c>
    </row>
    <row r="18" spans="1:12" ht="15.6" customHeight="1">
      <c r="A18" s="37"/>
      <c r="B18" s="36">
        <v>5020</v>
      </c>
      <c r="C18" s="35" t="s">
        <v>64</v>
      </c>
      <c r="F18" s="101">
        <v>8</v>
      </c>
      <c r="G18" s="103" t="s">
        <v>25</v>
      </c>
      <c r="H18" s="101">
        <v>8</v>
      </c>
      <c r="I18" s="36" t="s">
        <v>111</v>
      </c>
      <c r="J18" s="163">
        <v>177295.74</v>
      </c>
      <c r="L18" s="165">
        <f>(SUM(INDEX($J$11:$J$50,MATCH(0,$J$11:$J$50,0)):INDEX($J$11:$J$50,MATCH(0,$J$11:$J$50,0)-12))/12)*0.04</f>
        <v>7261.1873999999989</v>
      </c>
    </row>
    <row r="19" spans="1:12" ht="15.6" customHeight="1">
      <c r="A19" s="37"/>
      <c r="B19" s="36">
        <v>5050</v>
      </c>
      <c r="C19" s="35" t="s">
        <v>82</v>
      </c>
      <c r="F19" s="101">
        <v>9</v>
      </c>
      <c r="G19" s="103" t="s">
        <v>26</v>
      </c>
      <c r="H19" s="101">
        <v>9</v>
      </c>
      <c r="I19" s="36" t="s">
        <v>112</v>
      </c>
      <c r="J19" s="163">
        <v>176773.15</v>
      </c>
      <c r="L19" s="164" t="s">
        <v>150</v>
      </c>
    </row>
    <row r="20" spans="1:12" ht="15.6" customHeight="1">
      <c r="A20" s="37"/>
      <c r="C20" s="35"/>
      <c r="F20" s="101">
        <v>10</v>
      </c>
      <c r="G20" s="103" t="s">
        <v>27</v>
      </c>
      <c r="H20" s="101">
        <v>10</v>
      </c>
      <c r="I20" s="36" t="s">
        <v>113</v>
      </c>
      <c r="J20" s="163">
        <v>173299.15</v>
      </c>
      <c r="L20" s="165">
        <f>(SUM(INDEX($J$11:$J$50,MATCH(0,$J$11:$J$50,0)):INDEX($J$11:$J$50,MATCH(0,$J$11:$J$50,0)-12))/12)*0.05</f>
        <v>9076.4842499999995</v>
      </c>
    </row>
    <row r="21" spans="1:12" ht="15.6" customHeight="1">
      <c r="A21" s="37"/>
      <c r="C21" s="35"/>
      <c r="F21" s="101">
        <v>11</v>
      </c>
      <c r="G21" s="103" t="s">
        <v>16</v>
      </c>
      <c r="H21" s="101">
        <v>11</v>
      </c>
      <c r="I21" s="36" t="s">
        <v>114</v>
      </c>
      <c r="J21" s="163">
        <v>176578.4</v>
      </c>
      <c r="L21" s="164" t="s">
        <v>151</v>
      </c>
    </row>
    <row r="22" spans="1:12" ht="15.6" customHeight="1">
      <c r="A22" s="37"/>
      <c r="C22" s="35"/>
      <c r="F22" s="101">
        <v>12</v>
      </c>
      <c r="G22" s="103" t="s">
        <v>28</v>
      </c>
      <c r="H22" s="101">
        <v>12</v>
      </c>
      <c r="I22" s="36" t="s">
        <v>115</v>
      </c>
      <c r="J22" s="163">
        <v>162830.37</v>
      </c>
      <c r="L22" s="165">
        <f>(SUM(INDEX($J$11:$J$50,MATCH(0,$J$11:$J$50,0)):INDEX($J$11:$J$50,MATCH(0,$J$11:$J$50,0)-12))/12)*0.06</f>
        <v>10891.781099999998</v>
      </c>
    </row>
    <row r="23" spans="1:12" ht="15.6" customHeight="1">
      <c r="A23" s="37"/>
      <c r="I23" s="36" t="s">
        <v>116</v>
      </c>
      <c r="J23" s="163">
        <v>177740.97</v>
      </c>
      <c r="L23"/>
    </row>
    <row r="24" spans="1:12" ht="15.6" customHeight="1">
      <c r="A24" s="37"/>
      <c r="B24" s="37"/>
      <c r="C24" s="15"/>
      <c r="F24"/>
      <c r="G24"/>
      <c r="I24" s="36" t="s">
        <v>117</v>
      </c>
      <c r="J24" s="163">
        <v>182433.69</v>
      </c>
      <c r="L24" s="164" t="s">
        <v>152</v>
      </c>
    </row>
    <row r="25" spans="1:12" ht="15.6" customHeight="1">
      <c r="C25" s="35"/>
      <c r="E25"/>
      <c r="F25"/>
      <c r="G25"/>
      <c r="I25" s="36" t="s">
        <v>118</v>
      </c>
      <c r="J25" s="163">
        <v>183069.98</v>
      </c>
      <c r="L25" s="165">
        <f>(SUM(INDEX($J$11:$J$50,MATCH(0,$J$11:$J$50,0)):INDEX($J$11:$J$50,MATCH(0,$J$11:$J$50,0)-20))/20)*0.04</f>
        <v>6978.0481</v>
      </c>
    </row>
    <row r="26" spans="1:12" ht="15.6" customHeight="1">
      <c r="C26" s="35"/>
      <c r="E26"/>
      <c r="F26"/>
      <c r="G26"/>
      <c r="I26" s="36" t="s">
        <v>119</v>
      </c>
      <c r="J26" s="163">
        <v>184915.23</v>
      </c>
      <c r="L26" s="164" t="s">
        <v>153</v>
      </c>
    </row>
    <row r="27" spans="1:12" ht="15.6" customHeight="1">
      <c r="C27" s="35"/>
      <c r="E27"/>
      <c r="F27"/>
      <c r="I27" s="36" t="s">
        <v>120</v>
      </c>
      <c r="J27" s="163">
        <v>163093.63</v>
      </c>
      <c r="L27" s="165">
        <f>(SUM(INDEX($J$11:$J$50,MATCH(0,$J$11:$J$50,0)):INDEX($J$11:$J$50,MATCH(0,$J$11:$J$50,0)-20))/20)*0.05</f>
        <v>8722.560125</v>
      </c>
    </row>
    <row r="28" spans="1:12" ht="15.6" customHeight="1">
      <c r="B28" s="37"/>
      <c r="C28" s="15"/>
      <c r="I28" s="36" t="s">
        <v>121</v>
      </c>
      <c r="J28" s="163">
        <v>179703.69</v>
      </c>
      <c r="L28" s="164" t="s">
        <v>154</v>
      </c>
    </row>
    <row r="29" spans="1:12" ht="15.6" customHeight="1">
      <c r="C29" s="35"/>
      <c r="I29" s="36" t="s">
        <v>122</v>
      </c>
      <c r="J29" s="163">
        <v>188412.99</v>
      </c>
      <c r="L29" s="165">
        <f>(SUM(INDEX($J$11:$J$50,MATCH(0,$J$11:$J$50,0)):INDEX($J$11:$J$50,MATCH(0,$J$11:$J$50,0)-20))/20)*0.06</f>
        <v>10467.072149999998</v>
      </c>
    </row>
    <row r="30" spans="1:12" ht="15.6" customHeight="1">
      <c r="C30" s="35"/>
      <c r="I30" s="36" t="s">
        <v>123</v>
      </c>
      <c r="J30" s="163">
        <v>200809.60000000001</v>
      </c>
    </row>
    <row r="31" spans="1:12" ht="15.6" customHeight="1">
      <c r="B31" s="37"/>
      <c r="C31" s="15"/>
      <c r="I31" s="36" t="s">
        <v>124</v>
      </c>
      <c r="J31" s="163">
        <v>205468.52000000002</v>
      </c>
    </row>
    <row r="32" spans="1:12" ht="15.6" customHeight="1">
      <c r="C32" s="35"/>
      <c r="I32" s="36" t="s">
        <v>125</v>
      </c>
      <c r="J32" s="163">
        <v>0</v>
      </c>
    </row>
    <row r="33" spans="3:10" ht="15.6" customHeight="1">
      <c r="C33" s="35"/>
      <c r="I33" s="36" t="s">
        <v>126</v>
      </c>
      <c r="J33" s="163">
        <v>0</v>
      </c>
    </row>
    <row r="34" spans="3:10" ht="15.6" customHeight="1">
      <c r="C34" s="35"/>
      <c r="I34" s="36" t="s">
        <v>127</v>
      </c>
      <c r="J34" s="163">
        <v>0</v>
      </c>
    </row>
    <row r="35" spans="3:10" ht="15.6" customHeight="1">
      <c r="C35" s="35"/>
      <c r="I35" s="36" t="s">
        <v>128</v>
      </c>
      <c r="J35" s="163">
        <v>0</v>
      </c>
    </row>
    <row r="36" spans="3:10" ht="15.6" customHeight="1">
      <c r="C36" s="35"/>
      <c r="I36" s="36" t="s">
        <v>129</v>
      </c>
      <c r="J36" s="163">
        <v>0</v>
      </c>
    </row>
    <row r="37" spans="3:10" ht="15.6" customHeight="1">
      <c r="C37" s="35"/>
      <c r="I37" s="36" t="s">
        <v>130</v>
      </c>
      <c r="J37" s="163">
        <v>0</v>
      </c>
    </row>
    <row r="38" spans="3:10" ht="15.6" customHeight="1">
      <c r="C38" s="35"/>
      <c r="I38" s="36" t="s">
        <v>131</v>
      </c>
      <c r="J38" s="163">
        <v>0</v>
      </c>
    </row>
    <row r="39" spans="3:10" ht="15.6" customHeight="1">
      <c r="C39" s="35"/>
      <c r="F39" s="40"/>
      <c r="I39" s="36" t="s">
        <v>132</v>
      </c>
      <c r="J39" s="163">
        <v>0</v>
      </c>
    </row>
    <row r="40" spans="3:10" ht="15.6" customHeight="1">
      <c r="C40" s="35"/>
      <c r="I40" s="36" t="s">
        <v>133</v>
      </c>
      <c r="J40" s="163">
        <v>0</v>
      </c>
    </row>
    <row r="41" spans="3:10" ht="15.6" customHeight="1">
      <c r="C41" s="35"/>
      <c r="I41" s="36" t="s">
        <v>134</v>
      </c>
      <c r="J41" s="163">
        <v>0</v>
      </c>
    </row>
    <row r="42" spans="3:10" ht="15.6" customHeight="1">
      <c r="C42" s="35"/>
      <c r="I42" s="36" t="s">
        <v>136</v>
      </c>
      <c r="J42" s="163">
        <v>0</v>
      </c>
    </row>
    <row r="43" spans="3:10" ht="15.6" customHeight="1">
      <c r="C43" s="35"/>
      <c r="I43" s="36" t="s">
        <v>137</v>
      </c>
      <c r="J43" s="163">
        <v>0</v>
      </c>
    </row>
    <row r="44" spans="3:10" ht="15.6" customHeight="1">
      <c r="C44" s="35"/>
      <c r="I44" s="36" t="s">
        <v>138</v>
      </c>
      <c r="J44" s="163">
        <v>0</v>
      </c>
    </row>
    <row r="45" spans="3:10" ht="15.6" customHeight="1">
      <c r="C45" s="35"/>
      <c r="I45" s="36" t="s">
        <v>139</v>
      </c>
      <c r="J45" s="163">
        <v>0</v>
      </c>
    </row>
    <row r="46" spans="3:10" ht="15.6" customHeight="1">
      <c r="C46" s="35"/>
      <c r="I46" s="36" t="s">
        <v>140</v>
      </c>
      <c r="J46" s="163">
        <v>0</v>
      </c>
    </row>
    <row r="47" spans="3:10" ht="15.6" customHeight="1">
      <c r="C47" s="35"/>
      <c r="I47" s="36" t="s">
        <v>141</v>
      </c>
      <c r="J47" s="163">
        <v>0</v>
      </c>
    </row>
    <row r="48" spans="3:10" ht="15.6" customHeight="1">
      <c r="C48" s="35"/>
      <c r="E48" s="37"/>
      <c r="F48" s="40"/>
      <c r="I48" s="36" t="s">
        <v>142</v>
      </c>
      <c r="J48" s="163">
        <v>0</v>
      </c>
    </row>
    <row r="49" spans="1:10" ht="15.6" customHeight="1">
      <c r="C49" s="35"/>
      <c r="I49" s="36" t="s">
        <v>143</v>
      </c>
      <c r="J49" s="163">
        <v>0</v>
      </c>
    </row>
    <row r="50" spans="1:10" ht="15.6" customHeight="1">
      <c r="C50" s="35"/>
      <c r="I50" s="36" t="s">
        <v>144</v>
      </c>
      <c r="J50" s="163">
        <v>0</v>
      </c>
    </row>
    <row r="51" spans="1:10" ht="15.6" customHeight="1">
      <c r="C51" s="35"/>
    </row>
    <row r="52" spans="1:10" ht="15.6" customHeight="1"/>
    <row r="53" spans="1:10" ht="15.6" customHeight="1">
      <c r="B53" s="37"/>
      <c r="C53" s="15"/>
    </row>
    <row r="54" spans="1:10" ht="15.6" customHeight="1">
      <c r="B54" s="37"/>
      <c r="C54" s="15"/>
    </row>
    <row r="55" spans="1:10" ht="15.6" customHeight="1">
      <c r="A55" s="37"/>
      <c r="C55" s="35"/>
      <c r="D55" s="36" t="s">
        <v>12</v>
      </c>
    </row>
    <row r="56" spans="1:10" ht="15.6" customHeight="1">
      <c r="A56" s="37"/>
      <c r="C56" s="35"/>
    </row>
    <row r="57" spans="1:10" ht="15.6" customHeight="1">
      <c r="A57" s="37"/>
      <c r="C57" s="35"/>
    </row>
    <row r="58" spans="1:10" ht="15.6" customHeight="1">
      <c r="A58" s="37"/>
      <c r="C58" s="35"/>
    </row>
    <row r="59" spans="1:10" ht="15.6" customHeight="1">
      <c r="A59" s="37"/>
      <c r="C59" s="35"/>
    </row>
    <row r="60" spans="1:10" ht="15.6" customHeight="1">
      <c r="A60" s="37"/>
      <c r="C60" s="15"/>
    </row>
    <row r="61" spans="1:10" ht="15.6" customHeight="1">
      <c r="A61" s="37"/>
      <c r="C61" s="35"/>
    </row>
    <row r="62" spans="1:10" ht="15.6" customHeight="1">
      <c r="A62" s="37"/>
      <c r="C62" s="35"/>
    </row>
    <row r="63" spans="1:10" ht="15.6" customHeight="1">
      <c r="A63" s="37"/>
      <c r="C63" s="35"/>
    </row>
    <row r="64" spans="1:10" ht="15.6" customHeight="1">
      <c r="A64" s="37"/>
      <c r="C64" s="35"/>
    </row>
    <row r="65" spans="1:3" ht="15.6" customHeight="1">
      <c r="A65" s="37"/>
      <c r="C65" s="35"/>
    </row>
    <row r="66" spans="1:3" ht="15.6" customHeight="1">
      <c r="A66" s="37"/>
      <c r="C66" s="35"/>
    </row>
    <row r="67" spans="1:3" ht="15.6" customHeight="1">
      <c r="A67" s="37"/>
      <c r="C67" s="15"/>
    </row>
    <row r="68" spans="1:3" ht="15.6" customHeight="1">
      <c r="A68" s="37"/>
      <c r="C68" s="35"/>
    </row>
    <row r="69" spans="1:3" ht="15.6" customHeight="1">
      <c r="A69" s="37"/>
      <c r="C69" s="35"/>
    </row>
    <row r="70" spans="1:3" ht="15.6" customHeight="1">
      <c r="A70" s="37"/>
      <c r="C70" s="35"/>
    </row>
    <row r="71" spans="1:3" ht="15.6" customHeight="1">
      <c r="A71" s="37"/>
      <c r="C71" s="35"/>
    </row>
    <row r="72" spans="1:3" ht="15.6" customHeight="1">
      <c r="A72" s="37"/>
      <c r="C72" s="35"/>
    </row>
    <row r="73" spans="1:3" ht="15.6" customHeight="1">
      <c r="A73" s="37"/>
      <c r="C73" s="15"/>
    </row>
    <row r="74" spans="1:3" ht="15.6" customHeight="1">
      <c r="A74" s="37"/>
      <c r="C74" s="35"/>
    </row>
    <row r="75" spans="1:3" ht="15.6" customHeight="1">
      <c r="A75" s="37"/>
      <c r="C75" s="35"/>
    </row>
    <row r="76" spans="1:3" ht="15.6" customHeight="1">
      <c r="A76" s="37"/>
      <c r="B76" s="37"/>
      <c r="C76" s="15"/>
    </row>
    <row r="77" spans="1:3" ht="15.6" customHeight="1">
      <c r="A77" s="37"/>
      <c r="C77" s="35"/>
    </row>
    <row r="78" spans="1:3" ht="15.6" customHeight="1">
      <c r="A78" s="37"/>
      <c r="C78" s="35"/>
    </row>
    <row r="79" spans="1:3" ht="15.6" customHeight="1">
      <c r="A79" s="37"/>
      <c r="C79" s="35"/>
    </row>
    <row r="80" spans="1:3" ht="15.6" customHeight="1">
      <c r="A80" s="37"/>
      <c r="C80" s="35"/>
    </row>
    <row r="81" spans="1:4" ht="15.6" customHeight="1">
      <c r="A81" s="37"/>
      <c r="C81" s="35"/>
    </row>
    <row r="82" spans="1:4" ht="15.6" customHeight="1">
      <c r="A82" s="37"/>
      <c r="C82" s="35"/>
    </row>
    <row r="83" spans="1:4" ht="15.6" customHeight="1">
      <c r="A83" s="37"/>
      <c r="C83" s="35"/>
    </row>
    <row r="84" spans="1:4" ht="15.6" customHeight="1">
      <c r="A84" s="37"/>
      <c r="C84" s="15"/>
    </row>
    <row r="85" spans="1:4" ht="15.6" customHeight="1">
      <c r="A85" s="37"/>
      <c r="B85" s="37"/>
      <c r="C85" s="15"/>
    </row>
    <row r="86" spans="1:4" ht="15.6" customHeight="1">
      <c r="A86" s="37"/>
      <c r="C86" s="35"/>
      <c r="D86" s="36" t="s">
        <v>11</v>
      </c>
    </row>
    <row r="87" spans="1:4" ht="15.6" customHeight="1">
      <c r="A87" s="37"/>
      <c r="C87" s="35"/>
    </row>
    <row r="88" spans="1:4" ht="15.6" customHeight="1">
      <c r="A88" s="37"/>
      <c r="C88" s="35"/>
    </row>
    <row r="89" spans="1:4" ht="15.6" customHeight="1">
      <c r="A89" s="37"/>
      <c r="C89" s="35"/>
    </row>
    <row r="90" spans="1:4" ht="15.6" customHeight="1">
      <c r="A90" s="37"/>
      <c r="C90" s="15"/>
    </row>
    <row r="91" spans="1:4" ht="15.6" customHeight="1">
      <c r="A91" s="37"/>
      <c r="C91" s="35"/>
    </row>
    <row r="92" spans="1:4" ht="15.6" customHeight="1">
      <c r="A92" s="37"/>
      <c r="C92" s="35"/>
      <c r="D92" s="35"/>
    </row>
    <row r="93" spans="1:4" ht="15.6" customHeight="1">
      <c r="A93" s="37"/>
      <c r="C93" s="35"/>
      <c r="D93" s="35"/>
    </row>
    <row r="94" spans="1:4" ht="15.6" customHeight="1">
      <c r="A94" s="37"/>
      <c r="C94" s="35"/>
      <c r="D94" s="35"/>
    </row>
    <row r="95" spans="1:4" ht="15.6" customHeight="1">
      <c r="A95" s="37"/>
      <c r="C95" s="35"/>
      <c r="D95" s="35"/>
    </row>
    <row r="96" spans="1:4" ht="15.6" customHeight="1">
      <c r="A96" s="37"/>
      <c r="C96" s="15"/>
    </row>
    <row r="97" spans="1:11" ht="15.6" customHeight="1">
      <c r="A97" s="37"/>
      <c r="C97" s="35"/>
    </row>
    <row r="98" spans="1:11" ht="15.6" customHeight="1">
      <c r="A98" s="37"/>
      <c r="C98" s="35"/>
    </row>
    <row r="99" spans="1:11" ht="15.6" customHeight="1">
      <c r="A99" s="37"/>
      <c r="C99" s="35"/>
      <c r="G99" s="35"/>
      <c r="H99" s="35"/>
      <c r="I99" s="35"/>
      <c r="J99" s="35"/>
      <c r="K99" s="35"/>
    </row>
    <row r="100" spans="1:11" ht="15.6" customHeight="1">
      <c r="A100" s="37"/>
      <c r="B100" s="37"/>
      <c r="C100" s="15"/>
      <c r="G100" s="35"/>
      <c r="H100" s="35"/>
      <c r="I100" s="35"/>
      <c r="J100" s="35"/>
      <c r="K100" s="35"/>
    </row>
    <row r="101" spans="1:11" ht="15.6" customHeight="1">
      <c r="A101" s="37"/>
      <c r="C101" s="35"/>
      <c r="G101" s="35"/>
      <c r="H101" s="35"/>
      <c r="I101" s="35"/>
      <c r="J101" s="35"/>
      <c r="K101" s="35"/>
    </row>
    <row r="102" spans="1:11" ht="15.6" customHeight="1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>
      <c r="A105" s="37"/>
      <c r="B105" s="37"/>
      <c r="C105" s="15"/>
      <c r="F105" s="35"/>
      <c r="G105" s="35"/>
      <c r="H105" s="35"/>
      <c r="I105" s="35"/>
      <c r="J105" s="35"/>
      <c r="K105" s="35"/>
    </row>
    <row r="106" spans="1:11" ht="15.6" customHeight="1">
      <c r="A106" s="37"/>
      <c r="C106" s="35"/>
      <c r="F106" s="35"/>
      <c r="G106" s="35"/>
      <c r="H106" s="35"/>
      <c r="I106" s="35"/>
      <c r="J106" s="35"/>
      <c r="K106" s="35"/>
    </row>
    <row r="107" spans="1:11" ht="15.6" customHeight="1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>
      <c r="A109" s="37"/>
      <c r="B109" s="53"/>
      <c r="C109" s="15"/>
    </row>
    <row r="110" spans="1:11" ht="15.6" customHeight="1">
      <c r="A110" s="37"/>
      <c r="C110" s="40"/>
    </row>
    <row r="111" spans="1:11">
      <c r="C111" s="35"/>
    </row>
    <row r="112" spans="1:11">
      <c r="C112" s="35"/>
    </row>
    <row r="113" spans="2:4" ht="15.75">
      <c r="B113" s="37"/>
      <c r="C113" s="40"/>
    </row>
    <row r="114" spans="2:4">
      <c r="C114" s="35"/>
    </row>
    <row r="115" spans="2:4">
      <c r="C115" s="35"/>
    </row>
    <row r="116" spans="2:4">
      <c r="C116" s="35"/>
    </row>
    <row r="117" spans="2:4">
      <c r="C117" s="35"/>
    </row>
    <row r="118" spans="2:4" ht="15.75">
      <c r="B118" s="37"/>
      <c r="C118" s="40"/>
    </row>
    <row r="119" spans="2:4">
      <c r="C119" s="35"/>
    </row>
    <row r="120" spans="2:4">
      <c r="C120" s="35"/>
    </row>
    <row r="121" spans="2:4">
      <c r="C121" s="35"/>
    </row>
    <row r="122" spans="2:4">
      <c r="C122" s="35"/>
    </row>
    <row r="123" spans="2:4">
      <c r="C123" s="35"/>
      <c r="D123" s="36" t="s">
        <v>56</v>
      </c>
    </row>
    <row r="124" spans="2:4">
      <c r="C124" s="35"/>
    </row>
    <row r="125" spans="2:4">
      <c r="C125" s="35"/>
    </row>
    <row r="126" spans="2:4" ht="15.75">
      <c r="C126" s="40"/>
    </row>
    <row r="127" spans="2:4">
      <c r="C127" s="35"/>
    </row>
    <row r="128" spans="2:4">
      <c r="C128" s="35"/>
    </row>
    <row r="129" spans="3:3">
      <c r="C129" s="35"/>
    </row>
    <row r="130" spans="3:3">
      <c r="C130" s="35"/>
    </row>
    <row r="131" spans="3:3">
      <c r="C131" s="35"/>
    </row>
    <row r="132" spans="3:3">
      <c r="C132" s="35"/>
    </row>
    <row r="133" spans="3:3">
      <c r="C133" s="35"/>
    </row>
    <row r="134" spans="3:3">
      <c r="C134" s="35"/>
    </row>
    <row r="135" spans="3:3">
      <c r="C135" s="35"/>
    </row>
    <row r="136" spans="3:3" ht="15.75">
      <c r="C136" s="15"/>
    </row>
    <row r="137" spans="3:3" ht="15.75">
      <c r="C137" s="40"/>
    </row>
    <row r="138" spans="3:3">
      <c r="C138" s="35"/>
    </row>
    <row r="139" spans="3:3">
      <c r="C139" s="35"/>
    </row>
    <row r="140" spans="3:3" ht="15.75">
      <c r="C140" s="40"/>
    </row>
    <row r="141" spans="3:3">
      <c r="C141" s="35"/>
    </row>
    <row r="142" spans="3:3">
      <c r="C142" s="35"/>
    </row>
    <row r="143" spans="3:3">
      <c r="C143" s="35"/>
    </row>
    <row r="144" spans="3:3" ht="15.75">
      <c r="C144" s="40"/>
    </row>
    <row r="145" spans="3:3">
      <c r="C145" s="35"/>
    </row>
    <row r="146" spans="3:3">
      <c r="C146" s="35"/>
    </row>
    <row r="147" spans="3:3">
      <c r="C147" s="35"/>
    </row>
    <row r="148" spans="3:3">
      <c r="C148" s="35"/>
    </row>
    <row r="149" spans="3:3">
      <c r="C149" s="35"/>
    </row>
    <row r="150" spans="3:3">
      <c r="C150" s="35"/>
    </row>
    <row r="151" spans="3:3" ht="15.75">
      <c r="C151" s="15"/>
    </row>
    <row r="152" spans="3:3">
      <c r="C152" s="35"/>
    </row>
    <row r="153" spans="3:3">
      <c r="C153" s="35"/>
    </row>
    <row r="154" spans="3:3">
      <c r="C154" s="35"/>
    </row>
    <row r="155" spans="3:3">
      <c r="C155" s="35"/>
    </row>
    <row r="156" spans="3:3">
      <c r="C156" s="35"/>
    </row>
    <row r="157" spans="3:3">
      <c r="C157" s="35"/>
    </row>
    <row r="158" spans="3:3">
      <c r="C158" s="35"/>
    </row>
    <row r="159" spans="3:3">
      <c r="C159" s="35"/>
    </row>
    <row r="160" spans="3:3">
      <c r="C160" s="35"/>
    </row>
    <row r="161" spans="3:3">
      <c r="C161" s="35"/>
    </row>
    <row r="162" spans="3:3" ht="15.75">
      <c r="C162" s="15"/>
    </row>
    <row r="163" spans="3:3">
      <c r="C163" s="35"/>
    </row>
    <row r="164" spans="3:3">
      <c r="C164" s="35"/>
    </row>
    <row r="165" spans="3:3">
      <c r="C165" s="35"/>
    </row>
    <row r="168" spans="3:3">
      <c r="C168" s="35"/>
    </row>
    <row r="172" spans="3:3" ht="15.75">
      <c r="C172" s="15"/>
    </row>
    <row r="173" spans="3:3" ht="15.75">
      <c r="C173" s="15"/>
    </row>
    <row r="175" spans="3:3">
      <c r="C175" s="35"/>
    </row>
    <row r="177" spans="3:3" ht="15.75">
      <c r="C177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198"/>
      <c r="C8" s="199"/>
      <c r="D8" s="200"/>
      <c r="E8" s="85"/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198" t="s">
        <v>50</v>
      </c>
      <c r="C8" s="199"/>
      <c r="D8" s="200"/>
      <c r="E8" s="85">
        <v>350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198" t="s">
        <v>51</v>
      </c>
      <c r="C8" s="199"/>
      <c r="D8" s="200"/>
      <c r="E8" s="85">
        <v>700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198" t="s">
        <v>52</v>
      </c>
      <c r="C8" s="199"/>
      <c r="D8" s="200"/>
      <c r="E8" s="85">
        <v>290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198" t="s">
        <v>53</v>
      </c>
      <c r="C8" s="199"/>
      <c r="D8" s="200"/>
      <c r="E8" s="85">
        <v>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211" t="s">
        <v>54</v>
      </c>
      <c r="C8" s="212"/>
      <c r="D8" s="213"/>
      <c r="E8" s="85">
        <f>60+50+70+80</f>
        <v>260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1" t="s">
        <v>31</v>
      </c>
      <c r="B1" s="201"/>
      <c r="C1" s="201"/>
      <c r="D1" s="201"/>
      <c r="E1" s="201"/>
      <c r="F1" s="201"/>
      <c r="G1" s="201"/>
      <c r="H1" s="57"/>
    </row>
    <row r="2" spans="1:9" s="56" customFormat="1" ht="21">
      <c r="A2" s="202" t="s">
        <v>47</v>
      </c>
      <c r="B2" s="202"/>
      <c r="C2" s="202"/>
      <c r="D2" s="202"/>
      <c r="E2" s="202"/>
      <c r="F2" s="202"/>
      <c r="G2" s="202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3" t="s">
        <v>49</v>
      </c>
      <c r="C6" s="204"/>
      <c r="D6" s="205"/>
      <c r="E6" s="203" t="s">
        <v>48</v>
      </c>
      <c r="F6" s="203" t="s">
        <v>44</v>
      </c>
      <c r="G6" s="209" t="s">
        <v>45</v>
      </c>
      <c r="H6" s="56"/>
      <c r="I6" s="56"/>
    </row>
    <row r="7" spans="1:9" ht="23.45" customHeight="1" thickBot="1">
      <c r="A7" s="61" t="s">
        <v>32</v>
      </c>
      <c r="B7" s="206"/>
      <c r="C7" s="207"/>
      <c r="D7" s="208"/>
      <c r="E7" s="206"/>
      <c r="F7" s="206"/>
      <c r="G7" s="210"/>
      <c r="H7" s="56"/>
      <c r="I7" s="56"/>
    </row>
    <row r="8" spans="1:9" ht="40.5" customHeight="1" thickBot="1">
      <c r="A8" s="60">
        <v>1</v>
      </c>
      <c r="B8" s="211" t="s">
        <v>55</v>
      </c>
      <c r="C8" s="212"/>
      <c r="D8" s="213"/>
      <c r="E8" s="85">
        <v>150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8"/>
      <c r="C9" s="199"/>
      <c r="D9" s="200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8"/>
      <c r="C10" s="199"/>
      <c r="D10" s="200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8"/>
      <c r="C11" s="199"/>
      <c r="D11" s="200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8"/>
      <c r="C14" s="199"/>
      <c r="D14" s="200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8"/>
      <c r="C15" s="199"/>
      <c r="D15" s="200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8"/>
      <c r="C16" s="199"/>
      <c r="D16" s="200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8"/>
      <c r="C17" s="199"/>
      <c r="D17" s="200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8"/>
      <c r="C18" s="199"/>
      <c r="D18" s="200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8"/>
      <c r="C19" s="199"/>
      <c r="D19" s="200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8"/>
      <c r="C20" s="199"/>
      <c r="D20" s="200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8"/>
      <c r="C21" s="199"/>
      <c r="D21" s="200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8"/>
      <c r="C28" s="199"/>
      <c r="D28" s="200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A2" sqref="A2"/>
    </sheetView>
  </sheetViews>
  <sheetFormatPr defaultRowHeight="15"/>
  <cols>
    <col min="1" max="1" width="8.7109375" style="131"/>
    <col min="2" max="2" width="9.85546875" style="131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>
      <c r="A5" s="131" t="s">
        <v>75</v>
      </c>
      <c r="C5" s="214" t="s">
        <v>97</v>
      </c>
      <c r="D5" s="214"/>
      <c r="E5" s="214"/>
      <c r="G5" s="214" t="s">
        <v>98</v>
      </c>
      <c r="H5" s="214"/>
      <c r="I5" s="214"/>
      <c r="J5" t="s">
        <v>99</v>
      </c>
    </row>
    <row r="6" spans="1:16">
      <c r="B6" s="131" t="s">
        <v>86</v>
      </c>
      <c r="C6" s="131" t="s">
        <v>93</v>
      </c>
      <c r="D6" s="131" t="s">
        <v>95</v>
      </c>
      <c r="E6" s="131" t="s">
        <v>94</v>
      </c>
      <c r="G6" s="131" t="s">
        <v>93</v>
      </c>
      <c r="H6" s="131" t="s">
        <v>95</v>
      </c>
      <c r="I6" s="131" t="s">
        <v>94</v>
      </c>
    </row>
    <row r="7" spans="1:16">
      <c r="A7" s="131">
        <v>2015</v>
      </c>
      <c r="B7" s="131">
        <v>3</v>
      </c>
      <c r="C7" s="130">
        <v>126153.65</v>
      </c>
      <c r="D7" s="130"/>
      <c r="E7" s="128">
        <f>+C7+D7</f>
        <v>126153.65</v>
      </c>
      <c r="G7" s="130">
        <v>126153.65</v>
      </c>
      <c r="H7" s="130"/>
      <c r="I7" s="128">
        <f>+G7+H7</f>
        <v>126153.65</v>
      </c>
      <c r="J7" s="128">
        <f>+E7-I7</f>
        <v>0</v>
      </c>
    </row>
    <row r="8" spans="1:16">
      <c r="B8" s="131">
        <v>4</v>
      </c>
      <c r="C8" s="129">
        <f>+E7</f>
        <v>126153.65</v>
      </c>
      <c r="D8" s="130"/>
      <c r="E8" s="128">
        <f>+C8+D8</f>
        <v>126153.65</v>
      </c>
      <c r="G8" s="129">
        <f>+I7</f>
        <v>126153.65</v>
      </c>
      <c r="H8" s="130"/>
      <c r="I8" s="128">
        <f>+G8+H8</f>
        <v>126153.65</v>
      </c>
      <c r="J8" s="128">
        <f t="shared" ref="J8:J18" si="0">+E8-I8</f>
        <v>0</v>
      </c>
    </row>
    <row r="9" spans="1:16">
      <c r="A9" s="131">
        <v>2016</v>
      </c>
      <c r="B9" s="131">
        <v>1</v>
      </c>
      <c r="C9" s="129">
        <f>+E8</f>
        <v>126153.65</v>
      </c>
      <c r="D9" s="130"/>
      <c r="E9" s="128">
        <f t="shared" ref="E9:E14" si="1">+C9+D9</f>
        <v>126153.65</v>
      </c>
      <c r="G9" s="129">
        <f>+I8</f>
        <v>126153.65</v>
      </c>
      <c r="H9" s="130"/>
      <c r="I9" s="128">
        <f t="shared" ref="I9:I18" si="2">+G9+H9</f>
        <v>126153.65</v>
      </c>
      <c r="J9" s="128">
        <f t="shared" si="0"/>
        <v>0</v>
      </c>
    </row>
    <row r="10" spans="1:16">
      <c r="B10" s="131">
        <v>2</v>
      </c>
      <c r="C10" s="129">
        <f t="shared" ref="C10:C14" si="3">+E9</f>
        <v>126153.65</v>
      </c>
      <c r="D10" s="130"/>
      <c r="E10" s="128">
        <f t="shared" si="1"/>
        <v>126153.65</v>
      </c>
      <c r="G10" s="129">
        <f t="shared" ref="G10:G18" si="4">+I9</f>
        <v>126153.65</v>
      </c>
      <c r="H10" s="130"/>
      <c r="I10" s="128">
        <f t="shared" si="2"/>
        <v>126153.65</v>
      </c>
      <c r="J10" s="128">
        <f t="shared" si="0"/>
        <v>0</v>
      </c>
    </row>
    <row r="11" spans="1:16">
      <c r="B11" s="131">
        <v>3</v>
      </c>
      <c r="C11" s="129">
        <f t="shared" si="3"/>
        <v>126153.65</v>
      </c>
      <c r="D11" s="130"/>
      <c r="E11" s="128">
        <f t="shared" si="1"/>
        <v>126153.65</v>
      </c>
      <c r="G11" s="129">
        <f t="shared" si="4"/>
        <v>126153.65</v>
      </c>
      <c r="H11" s="130"/>
      <c r="I11" s="128">
        <f t="shared" si="2"/>
        <v>126153.65</v>
      </c>
      <c r="J11" s="128">
        <f t="shared" si="0"/>
        <v>0</v>
      </c>
    </row>
    <row r="12" spans="1:16">
      <c r="A12" s="131">
        <v>2017</v>
      </c>
      <c r="B12" s="131">
        <v>1</v>
      </c>
      <c r="C12" s="129">
        <f t="shared" si="3"/>
        <v>126153.65</v>
      </c>
      <c r="D12" s="130"/>
      <c r="E12" s="128">
        <f t="shared" si="1"/>
        <v>126153.65</v>
      </c>
      <c r="G12" s="129">
        <f t="shared" si="4"/>
        <v>126153.65</v>
      </c>
      <c r="H12" s="130"/>
      <c r="I12" s="128">
        <f t="shared" si="2"/>
        <v>126153.65</v>
      </c>
      <c r="J12" s="128">
        <f t="shared" si="0"/>
        <v>0</v>
      </c>
    </row>
    <row r="13" spans="1:16">
      <c r="B13" s="131">
        <v>2</v>
      </c>
      <c r="C13" s="129">
        <f t="shared" si="3"/>
        <v>126153.65</v>
      </c>
      <c r="D13" s="130"/>
      <c r="E13" s="128">
        <f t="shared" si="1"/>
        <v>126153.65</v>
      </c>
      <c r="G13" s="129">
        <f t="shared" si="4"/>
        <v>126153.65</v>
      </c>
      <c r="H13" s="130"/>
      <c r="I13" s="128">
        <f t="shared" si="2"/>
        <v>126153.65</v>
      </c>
      <c r="J13" s="128">
        <f t="shared" si="0"/>
        <v>0</v>
      </c>
    </row>
    <row r="14" spans="1:16">
      <c r="B14" s="131">
        <v>3</v>
      </c>
      <c r="C14" s="129">
        <f t="shared" si="3"/>
        <v>126153.65</v>
      </c>
      <c r="D14" s="130"/>
      <c r="E14" s="128">
        <f t="shared" si="1"/>
        <v>126153.65</v>
      </c>
      <c r="G14" s="129">
        <f t="shared" si="4"/>
        <v>126153.65</v>
      </c>
      <c r="H14" s="130"/>
      <c r="I14" s="128">
        <f t="shared" si="2"/>
        <v>126153.65</v>
      </c>
      <c r="J14" s="128">
        <f t="shared" si="0"/>
        <v>0</v>
      </c>
    </row>
    <row r="15" spans="1:16">
      <c r="A15" s="131">
        <v>2018</v>
      </c>
      <c r="B15" s="131">
        <v>1</v>
      </c>
      <c r="C15" s="129">
        <f t="shared" ref="C15:C19" si="5">+E14</f>
        <v>126153.65</v>
      </c>
      <c r="D15" s="130">
        <v>10</v>
      </c>
      <c r="E15" s="128">
        <f t="shared" ref="E15:E19" si="6">+C15+D15</f>
        <v>126163.65</v>
      </c>
      <c r="G15" s="129">
        <f t="shared" si="4"/>
        <v>126153.65</v>
      </c>
      <c r="H15" s="130"/>
      <c r="I15" s="128">
        <f t="shared" si="2"/>
        <v>126153.65</v>
      </c>
      <c r="J15" s="128">
        <f t="shared" si="0"/>
        <v>10</v>
      </c>
      <c r="P15">
        <v>7</v>
      </c>
    </row>
    <row r="16" spans="1:16">
      <c r="B16" s="131">
        <v>4</v>
      </c>
      <c r="C16" s="129">
        <f t="shared" si="5"/>
        <v>126163.65</v>
      </c>
      <c r="D16" s="130">
        <f>70+25</f>
        <v>95</v>
      </c>
      <c r="E16" s="128">
        <f t="shared" si="6"/>
        <v>126258.65</v>
      </c>
      <c r="G16" s="129">
        <f t="shared" si="4"/>
        <v>126153.65</v>
      </c>
      <c r="H16" s="130">
        <v>70</v>
      </c>
      <c r="I16" s="130">
        <f>+G16</f>
        <v>126153.65</v>
      </c>
      <c r="J16" s="128">
        <f t="shared" si="0"/>
        <v>105</v>
      </c>
      <c r="P16">
        <v>9</v>
      </c>
    </row>
    <row r="17" spans="1:16">
      <c r="A17" s="131">
        <v>2019</v>
      </c>
      <c r="B17" s="132" t="s">
        <v>96</v>
      </c>
      <c r="C17" s="129">
        <f t="shared" si="5"/>
        <v>126258.65</v>
      </c>
      <c r="D17" s="130">
        <v>2930</v>
      </c>
      <c r="E17" s="128">
        <f t="shared" si="6"/>
        <v>129188.65</v>
      </c>
      <c r="G17" s="129">
        <f t="shared" si="4"/>
        <v>126153.65</v>
      </c>
      <c r="H17" s="130">
        <f>129258.65-70-126153.65</f>
        <v>3035</v>
      </c>
      <c r="I17" s="128">
        <f t="shared" si="2"/>
        <v>129188.65</v>
      </c>
      <c r="J17" s="128">
        <f t="shared" si="0"/>
        <v>0</v>
      </c>
      <c r="P17">
        <v>7</v>
      </c>
    </row>
    <row r="18" spans="1:16">
      <c r="B18" s="131">
        <v>3</v>
      </c>
      <c r="C18" s="129">
        <f t="shared" si="5"/>
        <v>129188.65</v>
      </c>
      <c r="D18" s="130">
        <v>70</v>
      </c>
      <c r="E18" s="128">
        <f t="shared" si="6"/>
        <v>129258.65</v>
      </c>
      <c r="G18" s="129">
        <f t="shared" si="4"/>
        <v>129188.65</v>
      </c>
      <c r="H18" s="130">
        <v>70</v>
      </c>
      <c r="I18" s="128">
        <f t="shared" si="2"/>
        <v>129258.65</v>
      </c>
      <c r="J18" s="128">
        <f t="shared" si="0"/>
        <v>0</v>
      </c>
      <c r="P18">
        <v>1.4</v>
      </c>
    </row>
    <row r="19" spans="1:16">
      <c r="B19" s="131">
        <v>4</v>
      </c>
      <c r="C19" s="129">
        <f t="shared" si="5"/>
        <v>129258.65</v>
      </c>
      <c r="D19" s="130">
        <v>25</v>
      </c>
      <c r="E19" s="128">
        <f t="shared" si="6"/>
        <v>129283.65</v>
      </c>
      <c r="G19" s="129"/>
      <c r="H19" s="130"/>
      <c r="I19" s="128"/>
      <c r="J19" s="128"/>
      <c r="P19">
        <v>1.75</v>
      </c>
    </row>
    <row r="21" spans="1:16">
      <c r="C21" t="s">
        <v>100</v>
      </c>
    </row>
    <row r="22" spans="1:16">
      <c r="C22" s="128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2021-11-13T21:28:52Z</cp:lastPrinted>
  <dcterms:created xsi:type="dcterms:W3CDTF">2013-11-11T13:58:06Z</dcterms:created>
  <dcterms:modified xsi:type="dcterms:W3CDTF">2021-11-13T21:45:59Z</dcterms:modified>
</cp:coreProperties>
</file>